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Önkormányzati költségvetés\Költségvetés-2024\Módosítás\2024. 05\"/>
    </mc:Choice>
  </mc:AlternateContent>
  <xr:revisionPtr revIDLastSave="0" documentId="8_{65DBE98E-FCE0-4D14-B2E5-5B92B67A5B32}" xr6:coauthVersionLast="47" xr6:coauthVersionMax="47" xr10:uidLastSave="{00000000-0000-0000-0000-000000000000}"/>
  <bookViews>
    <workbookView xWindow="-108" yWindow="-108" windowWidth="23256" windowHeight="12576" tabRatio="816" firstSheet="31" activeTab="43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r:id="rId11"/>
    <sheet name="10.sz.mell." sheetId="1418" state="hidden" r:id="rId12"/>
    <sheet name="11.sz.mell. Beruházás" sheetId="1419" r:id="rId13"/>
    <sheet name="12.sz.mell. Felújítás" sheetId="1420" state="hidden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state="hidden" r:id="rId20"/>
    <sheet name="19. sz. mell PH." sheetId="1432" state="hidden" r:id="rId21"/>
    <sheet name="20. sz. mell. PH." sheetId="1433" r:id="rId22"/>
    <sheet name="21. sz. mell TEOI" sheetId="1462" r:id="rId23"/>
    <sheet name="22. sz. mell TEOI" sheetId="1463" r:id="rId24"/>
    <sheet name="23.sz.mell TEOI" sheetId="1464" state="hidden" r:id="rId25"/>
    <sheet name="24. sz. mell EKIK" sheetId="1465" state="hidden" r:id="rId26"/>
    <sheet name="25. sz. mell EKIK" sheetId="1466" state="hidden" r:id="rId27"/>
    <sheet name="26. sz. mell EKIK" sheetId="1467" state="hidden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r:id="rId32"/>
    <sheet name="31. sz. mell TIB  " sheetId="1475" state="hidden" r:id="rId33"/>
    <sheet name="32. sz. mell TIB  " sheetId="1476" state="hidden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state="hidden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">'1. sz.mell. '!$A$1:$C$164</definedName>
    <definedName name="_xlnm.Print_Area" localSheetId="12">'11.sz.mell. Beruházás'!$A$1:$G$47</definedName>
    <definedName name="_xlnm.Print_Area" localSheetId="13">'12.sz.mell. Felújítás'!$A$1:$G$17</definedName>
    <definedName name="_xlnm.Print_Area" localSheetId="18">'17. sz. mell. PH.'!$A$1:$E$60</definedName>
    <definedName name="_xlnm.Print_Area" localSheetId="36">'35.sz.m. tartalék'!$A$1:$B$24</definedName>
    <definedName name="_xlnm.Print_Area" localSheetId="41">'40.sz.m. (5.sz. tájékoztató)'!$A$1:$E$54</definedName>
    <definedName name="_xlnm.Print_Area" localSheetId="42">'41.sz.m. (6.sz tájékoztató t )'!$A$1:$D$39</definedName>
    <definedName name="_xlnm.Print_Area" localSheetId="43">'42.sz.m. (7.sz táj. feladatos)'!$A$1:$N$72</definedName>
    <definedName name="_xlnm.Print_Area" localSheetId="45">'44. sz.m. (9.sz tájékoztató)'!$A$1:$E$22</definedName>
    <definedName name="Print_Area" localSheetId="1">'1. sz.mell. '!$A$1:$C$164</definedName>
    <definedName name="Print_Area" localSheetId="12">'11.sz.mell. Beruházás'!$A$1:$G$47</definedName>
    <definedName name="Print_Area" localSheetId="13">'12.sz.mell. Felújítás'!$A$1:$G$17</definedName>
    <definedName name="Print_Area" localSheetId="15">'14. sz. mell. Önk.'!$A$1:$C$154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'!$A$1:$E$157</definedName>
    <definedName name="Print_Area" localSheetId="4">'4. sz.mell. '!$A$1:$C$166</definedName>
    <definedName name="Print_Area" localSheetId="41">'40.sz.m. (5.sz. tájékoztató)'!$A$1:$D$54</definedName>
    <definedName name="Print_Area" localSheetId="43">'42.sz.m. (7.sz táj. feladatos)'!$A$1:$N$72</definedName>
    <definedName name="Print_Area" localSheetId="45">'44. sz.m. (9.sz tájékoztató)'!$A$1:$E$22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TEOI'!$2:$5</definedName>
    <definedName name="Print_Titles" localSheetId="23">'22. sz. mell TEOI'!$2:$5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A1" i="1458" l="1"/>
  <c r="A1" i="1457"/>
  <c r="A1" i="1455"/>
  <c r="A1" i="1452"/>
  <c r="A1" i="1451"/>
  <c r="A1" i="1450"/>
  <c r="A1" i="1474"/>
  <c r="A1" i="1473"/>
  <c r="A1" i="1472"/>
  <c r="A1" i="1471"/>
  <c r="A1" i="1463"/>
  <c r="A1" i="1462"/>
  <c r="A1" i="1433"/>
  <c r="A1" i="1430"/>
  <c r="A1" i="1429"/>
  <c r="A1" i="1428"/>
  <c r="A1" i="1427"/>
  <c r="A1" i="1480"/>
  <c r="A1" i="1419"/>
  <c r="A1" i="1417"/>
  <c r="F2" i="1362"/>
  <c r="F1" i="1361"/>
  <c r="M69" i="1458"/>
  <c r="I19" i="1458"/>
  <c r="J19" i="1458"/>
  <c r="E68" i="1458"/>
  <c r="G15" i="1458"/>
  <c r="I13" i="1458"/>
  <c r="J34" i="1458"/>
  <c r="I34" i="1458"/>
  <c r="I42" i="1458"/>
  <c r="I56" i="1458"/>
  <c r="I48" i="1458"/>
  <c r="J22" i="1458"/>
  <c r="J39" i="1458"/>
  <c r="I39" i="1458"/>
  <c r="C13" i="1458"/>
  <c r="G18" i="1455"/>
  <c r="H19" i="1455"/>
  <c r="I19" i="1455"/>
  <c r="N26" i="1455"/>
  <c r="G25" i="1455"/>
  <c r="G23" i="1455"/>
  <c r="H23" i="1455"/>
  <c r="F22" i="1455"/>
  <c r="M20" i="1455"/>
  <c r="L20" i="1455"/>
  <c r="K20" i="1455"/>
  <c r="J20" i="1455"/>
  <c r="I20" i="1455"/>
  <c r="H20" i="1455"/>
  <c r="E15" i="1455"/>
  <c r="H11" i="1455"/>
  <c r="G10" i="1455"/>
  <c r="G8" i="1455"/>
  <c r="B11" i="1451"/>
  <c r="B13" i="1451"/>
  <c r="C46" i="1463"/>
  <c r="C40" i="1463"/>
  <c r="C39" i="1462"/>
  <c r="C45" i="1462"/>
  <c r="C48" i="1433"/>
  <c r="C40" i="1433"/>
  <c r="C40" i="1430"/>
  <c r="C48" i="1430"/>
  <c r="C43" i="1427"/>
  <c r="C44" i="1427"/>
  <c r="C114" i="1429"/>
  <c r="C95" i="1429"/>
  <c r="C93" i="1429"/>
  <c r="C21" i="1429"/>
  <c r="C122" i="1428"/>
  <c r="C115" i="1428"/>
  <c r="C114" i="1428"/>
  <c r="C112" i="1428"/>
  <c r="C111" i="1428"/>
  <c r="C111" i="1427"/>
  <c r="C104" i="1428"/>
  <c r="C95" i="1428"/>
  <c r="C94" i="1428"/>
  <c r="C93" i="1428"/>
  <c r="C76" i="1428"/>
  <c r="C43" i="1428"/>
  <c r="C39" i="1428"/>
  <c r="C33" i="1428"/>
  <c r="C122" i="1427"/>
  <c r="C115" i="1427"/>
  <c r="C114" i="1427"/>
  <c r="C112" i="1427"/>
  <c r="C104" i="1427"/>
  <c r="C95" i="1427"/>
  <c r="C94" i="1427"/>
  <c r="C93" i="1427"/>
  <c r="C76" i="1427"/>
  <c r="C39" i="1427"/>
  <c r="C33" i="1427"/>
  <c r="C21" i="1427"/>
  <c r="C22" i="1427"/>
  <c r="C39" i="1480"/>
  <c r="D39" i="1480"/>
  <c r="C31" i="1480"/>
  <c r="D156" i="1480"/>
  <c r="D164" i="1480"/>
  <c r="F23" i="1419"/>
  <c r="B23" i="1419"/>
  <c r="F17" i="1419"/>
  <c r="B17" i="1419"/>
  <c r="C7" i="1417"/>
  <c r="D37" i="1357"/>
  <c r="C103" i="1360"/>
  <c r="D111" i="1359"/>
  <c r="D102" i="1359"/>
  <c r="D100" i="1359"/>
  <c r="D25" i="1359"/>
  <c r="D129" i="1358"/>
  <c r="D122" i="1358"/>
  <c r="D121" i="1358"/>
  <c r="D119" i="1358"/>
  <c r="D118" i="1358"/>
  <c r="D111" i="1358"/>
  <c r="D102" i="1358"/>
  <c r="D101" i="1358"/>
  <c r="D100" i="1358"/>
  <c r="D80" i="1358"/>
  <c r="D47" i="1358"/>
  <c r="D43" i="1358"/>
  <c r="D37" i="1358"/>
  <c r="D129" i="1357"/>
  <c r="D122" i="1357"/>
  <c r="D121" i="1357"/>
  <c r="D119" i="1357"/>
  <c r="D118" i="1357"/>
  <c r="D111" i="1357"/>
  <c r="D102" i="1357"/>
  <c r="D101" i="1357"/>
  <c r="D100" i="1357"/>
  <c r="D80" i="1357"/>
  <c r="D47" i="1357"/>
  <c r="D43" i="1357"/>
  <c r="D25" i="1357"/>
  <c r="C48" i="1473" l="1"/>
  <c r="C46" i="1473"/>
  <c r="C48" i="1471"/>
  <c r="C46" i="1471"/>
  <c r="C40" i="1473"/>
  <c r="C40" i="1471"/>
  <c r="D52" i="1456" l="1"/>
  <c r="D46" i="1456"/>
  <c r="D41" i="1456"/>
  <c r="D38" i="1456"/>
  <c r="D34" i="1456"/>
  <c r="D42" i="1456" s="1"/>
  <c r="D21" i="1456"/>
  <c r="D18" i="1480"/>
  <c r="C18" i="1480"/>
  <c r="C22" i="1480" s="1"/>
  <c r="D19" i="1480"/>
  <c r="B19" i="1480" s="1"/>
  <c r="D60" i="1480"/>
  <c r="E8" i="1480"/>
  <c r="D8" i="1480"/>
  <c r="C8" i="1480"/>
  <c r="E22" i="1480"/>
  <c r="B21" i="1480"/>
  <c r="B20" i="1480"/>
  <c r="D17" i="1480"/>
  <c r="B17" i="1480" s="1"/>
  <c r="E16" i="1480"/>
  <c r="C16" i="1480"/>
  <c r="B15" i="1480"/>
  <c r="B14" i="1480"/>
  <c r="D13" i="1480"/>
  <c r="B13" i="1480" s="1"/>
  <c r="B12" i="1480"/>
  <c r="D16" i="1480"/>
  <c r="B11" i="1480"/>
  <c r="B18" i="1480" l="1"/>
  <c r="B22" i="1480" s="1"/>
  <c r="B16" i="1480"/>
  <c r="D22" i="1480"/>
  <c r="D34" i="1458" l="1"/>
  <c r="C34" i="1458"/>
  <c r="I23" i="1455"/>
  <c r="D9" i="1455"/>
  <c r="D8" i="1455"/>
  <c r="D7" i="1455"/>
  <c r="C22" i="1428"/>
  <c r="C29" i="1427"/>
  <c r="C29" i="1428"/>
  <c r="C28" i="1428"/>
  <c r="C28" i="1427"/>
  <c r="C21" i="1428"/>
  <c r="D14" i="1427"/>
  <c r="E14" i="1427" s="1"/>
  <c r="C14" i="1428"/>
  <c r="C14" i="1427"/>
  <c r="G23" i="1419"/>
  <c r="F14" i="1427" l="1"/>
  <c r="D33" i="1357"/>
  <c r="D32" i="1357"/>
  <c r="D33" i="1358"/>
  <c r="D32" i="1358"/>
  <c r="D26" i="1358"/>
  <c r="D25" i="1358"/>
  <c r="D26" i="1357"/>
  <c r="D18" i="1358"/>
  <c r="D18" i="1357"/>
  <c r="D142" i="1480"/>
  <c r="C142" i="1480"/>
  <c r="D139" i="1480"/>
  <c r="D122" i="1480"/>
  <c r="C122" i="1480"/>
  <c r="D102" i="1480"/>
  <c r="E85" i="1480"/>
  <c r="D85" i="1480"/>
  <c r="C85" i="1480"/>
  <c r="B84" i="1480"/>
  <c r="B83" i="1480"/>
  <c r="B82" i="1480"/>
  <c r="B81" i="1480"/>
  <c r="B80" i="1480"/>
  <c r="B79" i="1480"/>
  <c r="E78" i="1480"/>
  <c r="D78" i="1480"/>
  <c r="C78" i="1480"/>
  <c r="B77" i="1480"/>
  <c r="B76" i="1480"/>
  <c r="B75" i="1480"/>
  <c r="B74" i="1480"/>
  <c r="B73" i="1480"/>
  <c r="B85" i="1480" l="1"/>
  <c r="B78" i="1480"/>
  <c r="D59" i="1480"/>
  <c r="C59" i="1480"/>
  <c r="C60" i="1480"/>
  <c r="D38" i="1480"/>
  <c r="C38" i="1480"/>
  <c r="D1" i="1478"/>
  <c r="A1" i="1456"/>
  <c r="A1" i="1476"/>
  <c r="A1" i="1475"/>
  <c r="A1" i="1467"/>
  <c r="A1" i="1466"/>
  <c r="A1" i="1465"/>
  <c r="A1" i="1431"/>
  <c r="A1" i="1420"/>
  <c r="C122" i="1452"/>
  <c r="C101" i="1452"/>
  <c r="C32" i="1452"/>
  <c r="C11" i="1452"/>
  <c r="N27" i="1455"/>
  <c r="H27" i="1455"/>
  <c r="L25" i="1455"/>
  <c r="K24" i="1455"/>
  <c r="N23" i="1455"/>
  <c r="J21" i="1455"/>
  <c r="N15" i="1455"/>
  <c r="C15" i="1455"/>
  <c r="K10" i="1455"/>
  <c r="N8" i="1455"/>
  <c r="M8" i="1455"/>
  <c r="L8" i="1455"/>
  <c r="K8" i="1455"/>
  <c r="J8" i="1455"/>
  <c r="I8" i="1455"/>
  <c r="H8" i="1455"/>
  <c r="F8" i="1455"/>
  <c r="E8" i="1455"/>
  <c r="C8" i="1455"/>
  <c r="N7" i="1455"/>
  <c r="C7" i="1455"/>
  <c r="C37" i="1458"/>
  <c r="N42" i="1458"/>
  <c r="H42" i="1458"/>
  <c r="D31" i="1457" l="1"/>
  <c r="D33" i="1457" l="1"/>
  <c r="D6" i="1456"/>
  <c r="D14" i="1456" s="1"/>
  <c r="D54" i="1456" l="1"/>
  <c r="H19" i="1453" l="1"/>
  <c r="D18" i="1453"/>
  <c r="D17" i="1453"/>
  <c r="D16" i="1453"/>
  <c r="H15" i="1453"/>
  <c r="D15" i="1453"/>
  <c r="D14" i="1453"/>
  <c r="D13" i="1453"/>
  <c r="C56" i="1473"/>
  <c r="C50" i="1473"/>
  <c r="C49" i="1473"/>
  <c r="C45" i="1473"/>
  <c r="C44" i="1473"/>
  <c r="C37" i="1473"/>
  <c r="C30" i="1473"/>
  <c r="C25" i="1473"/>
  <c r="C19" i="1473"/>
  <c r="C7" i="1473"/>
  <c r="C36" i="1473" s="1"/>
  <c r="C56" i="1472"/>
  <c r="C50" i="1472"/>
  <c r="C49" i="1472" s="1"/>
  <c r="C46" i="1472"/>
  <c r="C45" i="1472"/>
  <c r="C44" i="1472"/>
  <c r="C43" i="1472"/>
  <c r="C55" i="1472" s="1"/>
  <c r="C37" i="1472"/>
  <c r="C30" i="1472"/>
  <c r="C25" i="1472"/>
  <c r="C19" i="1472"/>
  <c r="C7" i="1472"/>
  <c r="C56" i="1471"/>
  <c r="C50" i="1471"/>
  <c r="C49" i="1471" s="1"/>
  <c r="C45" i="1471"/>
  <c r="C44" i="1471"/>
  <c r="C43" i="1471"/>
  <c r="C37" i="1471"/>
  <c r="C30" i="1471"/>
  <c r="C25" i="1471"/>
  <c r="C19" i="1471"/>
  <c r="C7" i="1471"/>
  <c r="C36" i="1471" l="1"/>
  <c r="C41" i="1471" s="1"/>
  <c r="C43" i="1473"/>
  <c r="C36" i="1472"/>
  <c r="C41" i="1472" s="1"/>
  <c r="C55" i="1473"/>
  <c r="C41" i="1473"/>
  <c r="C55" i="1471"/>
  <c r="C144" i="1429"/>
  <c r="C139" i="1429"/>
  <c r="C132" i="1429"/>
  <c r="C128" i="1429"/>
  <c r="C118" i="1429"/>
  <c r="C113" i="1429" s="1"/>
  <c r="C110" i="1429"/>
  <c r="C92" i="1429" s="1"/>
  <c r="C97" i="1429"/>
  <c r="C82" i="1429"/>
  <c r="C78" i="1429"/>
  <c r="C75" i="1429"/>
  <c r="C70" i="1429"/>
  <c r="C66" i="1429"/>
  <c r="C89" i="1429" s="1"/>
  <c r="C60" i="1429"/>
  <c r="C55" i="1429"/>
  <c r="C49" i="1429"/>
  <c r="C37" i="1429"/>
  <c r="C31" i="1429"/>
  <c r="C30" i="1429" s="1"/>
  <c r="C23" i="1429"/>
  <c r="C16" i="1429"/>
  <c r="C10" i="1429"/>
  <c r="C7" i="1429" s="1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1" i="1428"/>
  <c r="C30" i="1428" s="1"/>
  <c r="C23" i="1428"/>
  <c r="C16" i="1428"/>
  <c r="C10" i="1428"/>
  <c r="C7" i="1428"/>
  <c r="C144" i="1427"/>
  <c r="C139" i="1427"/>
  <c r="C132" i="1427"/>
  <c r="C130" i="1427"/>
  <c r="C128" i="1427" s="1"/>
  <c r="C152" i="1427" s="1"/>
  <c r="C118" i="1427"/>
  <c r="C113" i="1427" s="1"/>
  <c r="C110" i="1427"/>
  <c r="C97" i="1427"/>
  <c r="C82" i="1427"/>
  <c r="C78" i="1427"/>
  <c r="C75" i="1427"/>
  <c r="C70" i="1427"/>
  <c r="C66" i="1427"/>
  <c r="C60" i="1427"/>
  <c r="C55" i="1427"/>
  <c r="C49" i="1427"/>
  <c r="C37" i="1427"/>
  <c r="C36" i="1427"/>
  <c r="C35" i="1427"/>
  <c r="C31" i="1427"/>
  <c r="C30" i="1427" s="1"/>
  <c r="C23" i="1427"/>
  <c r="C16" i="1427"/>
  <c r="C10" i="1427"/>
  <c r="C7" i="1427" s="1"/>
  <c r="C154" i="1427"/>
  <c r="F10" i="1419"/>
  <c r="B10" i="1419"/>
  <c r="F31" i="1459"/>
  <c r="E31" i="1459"/>
  <c r="D31" i="1459"/>
  <c r="C152" i="1429" l="1"/>
  <c r="C65" i="1429"/>
  <c r="C92" i="1428"/>
  <c r="C127" i="1428" s="1"/>
  <c r="C89" i="1427"/>
  <c r="C90" i="1429"/>
  <c r="C127" i="1429"/>
  <c r="C89" i="1428"/>
  <c r="C152" i="1428"/>
  <c r="C65" i="1428"/>
  <c r="C153" i="1429"/>
  <c r="C92" i="1427"/>
  <c r="C65" i="1427"/>
  <c r="B29" i="1419"/>
  <c r="F29" i="1419"/>
  <c r="I151" i="1359"/>
  <c r="I146" i="1359"/>
  <c r="I139" i="1359"/>
  <c r="I135" i="1359"/>
  <c r="I159" i="1359" s="1"/>
  <c r="I125" i="1359"/>
  <c r="I120" i="1359"/>
  <c r="I117" i="1359"/>
  <c r="I104" i="1359"/>
  <c r="I99" i="1359" s="1"/>
  <c r="I134" i="1359" s="1"/>
  <c r="I160" i="1359" s="1"/>
  <c r="I97" i="1359"/>
  <c r="I86" i="1359"/>
  <c r="I82" i="1359"/>
  <c r="I79" i="1359"/>
  <c r="I74" i="1359"/>
  <c r="I70" i="1359"/>
  <c r="I64" i="1359"/>
  <c r="I59" i="1359"/>
  <c r="I53" i="1359"/>
  <c r="I41" i="1359"/>
  <c r="I35" i="1359"/>
  <c r="I34" i="1359" s="1"/>
  <c r="I27" i="1359"/>
  <c r="I20" i="1359"/>
  <c r="I14" i="1359"/>
  <c r="I11" i="1359"/>
  <c r="I151" i="1358"/>
  <c r="I146" i="1358"/>
  <c r="I139" i="1358"/>
  <c r="I135" i="1358"/>
  <c r="I125" i="1358"/>
  <c r="I120" i="1358"/>
  <c r="I117" i="1358"/>
  <c r="I104" i="1358"/>
  <c r="I97" i="1358"/>
  <c r="I86" i="1358"/>
  <c r="I82" i="1358"/>
  <c r="I79" i="1358"/>
  <c r="I74" i="1358"/>
  <c r="I70" i="1358"/>
  <c r="I93" i="1358" s="1"/>
  <c r="I64" i="1358"/>
  <c r="I59" i="1358"/>
  <c r="I53" i="1358"/>
  <c r="I41" i="1358"/>
  <c r="I35" i="1358"/>
  <c r="I34" i="1358" s="1"/>
  <c r="I27" i="1358"/>
  <c r="I20" i="1358"/>
  <c r="I14" i="1358"/>
  <c r="I11" i="1358" s="1"/>
  <c r="I151" i="1357"/>
  <c r="I146" i="1357"/>
  <c r="I139" i="1357"/>
  <c r="I135" i="1357"/>
  <c r="I159" i="1357" s="1"/>
  <c r="I125" i="1357"/>
  <c r="I120" i="1357" s="1"/>
  <c r="I117" i="1357"/>
  <c r="I104" i="1357"/>
  <c r="I99" i="1357" s="1"/>
  <c r="I134" i="1357" s="1"/>
  <c r="I160" i="1357" s="1"/>
  <c r="I86" i="1357"/>
  <c r="I82" i="1357"/>
  <c r="I79" i="1357"/>
  <c r="I74" i="1357"/>
  <c r="I70" i="1357"/>
  <c r="I64" i="1357"/>
  <c r="I59" i="1357"/>
  <c r="I53" i="1357"/>
  <c r="I41" i="1357"/>
  <c r="I35" i="1357"/>
  <c r="I34" i="1357" s="1"/>
  <c r="I27" i="1357"/>
  <c r="I20" i="1357"/>
  <c r="I14" i="1357"/>
  <c r="I11" i="1357" s="1"/>
  <c r="B44" i="1419"/>
  <c r="B33" i="1419"/>
  <c r="D21" i="1419"/>
  <c r="B14" i="1419"/>
  <c r="F14" i="1419"/>
  <c r="D14" i="1419"/>
  <c r="G42" i="1419"/>
  <c r="G41" i="1419"/>
  <c r="G40" i="1419"/>
  <c r="G39" i="1419"/>
  <c r="F38" i="1419"/>
  <c r="D38" i="1419"/>
  <c r="B38" i="1419"/>
  <c r="I93" i="1357" l="1"/>
  <c r="I99" i="1358"/>
  <c r="I134" i="1358" s="1"/>
  <c r="I159" i="1358"/>
  <c r="C90" i="1427"/>
  <c r="I93" i="1359"/>
  <c r="C90" i="1428"/>
  <c r="I69" i="1357"/>
  <c r="I69" i="1359"/>
  <c r="I94" i="1359" s="1"/>
  <c r="C153" i="1428"/>
  <c r="C127" i="1427"/>
  <c r="C153" i="1427" s="1"/>
  <c r="I69" i="1358"/>
  <c r="I94" i="1358" s="1"/>
  <c r="I94" i="1357"/>
  <c r="G14" i="1419"/>
  <c r="G38" i="1419"/>
  <c r="I160" i="1358" l="1"/>
  <c r="G10" i="1420"/>
  <c r="F19" i="1419"/>
  <c r="F20" i="1419"/>
  <c r="D20" i="1419"/>
  <c r="G15" i="1420"/>
  <c r="F11" i="1420"/>
  <c r="F18" i="1419" l="1"/>
  <c r="D18" i="1419"/>
  <c r="B18" i="1419"/>
  <c r="G25" i="1419" l="1"/>
  <c r="G26" i="1419"/>
  <c r="D22" i="1419"/>
  <c r="G24" i="1419"/>
  <c r="E17" i="1362"/>
  <c r="D35" i="1358" l="1"/>
  <c r="D20" i="1358"/>
  <c r="D27" i="1358"/>
  <c r="D41" i="1358"/>
  <c r="D53" i="1358"/>
  <c r="D59" i="1358"/>
  <c r="D64" i="1358"/>
  <c r="D70" i="1358"/>
  <c r="D74" i="1358"/>
  <c r="D79" i="1358"/>
  <c r="D82" i="1358"/>
  <c r="D86" i="1358"/>
  <c r="D97" i="1358"/>
  <c r="D104" i="1358"/>
  <c r="D117" i="1358"/>
  <c r="D125" i="1358"/>
  <c r="D120" i="1358" s="1"/>
  <c r="D135" i="1358"/>
  <c r="D139" i="1358"/>
  <c r="D146" i="1358"/>
  <c r="D151" i="1358"/>
  <c r="E12" i="1478"/>
  <c r="D159" i="1358" l="1"/>
  <c r="D99" i="1358"/>
  <c r="D134" i="1358" s="1"/>
  <c r="D160" i="1358" s="1"/>
  <c r="D93" i="1358"/>
  <c r="D34" i="1358"/>
  <c r="D40" i="1357" l="1"/>
  <c r="C16" i="1416" l="1"/>
  <c r="C15" i="1416"/>
  <c r="C14" i="1416"/>
  <c r="C13" i="1416"/>
  <c r="C12" i="1416"/>
  <c r="C11" i="1416"/>
  <c r="A1" i="1360" l="1"/>
  <c r="M43" i="1357" l="1"/>
  <c r="M44" i="1357"/>
  <c r="M45" i="1357"/>
  <c r="M46" i="1357"/>
  <c r="M47" i="1357"/>
  <c r="M48" i="1357"/>
  <c r="M49" i="1357"/>
  <c r="M50" i="1357"/>
  <c r="M51" i="1357"/>
  <c r="M52" i="1357"/>
  <c r="M42" i="1357"/>
  <c r="B164" i="1480" l="1"/>
  <c r="D163" i="1480"/>
  <c r="B163" i="1480" s="1"/>
  <c r="E168" i="1480"/>
  <c r="C168" i="1480"/>
  <c r="B167" i="1480"/>
  <c r="B166" i="1480"/>
  <c r="B165" i="1480"/>
  <c r="B162" i="1480"/>
  <c r="E161" i="1480"/>
  <c r="C161" i="1480"/>
  <c r="B160" i="1480"/>
  <c r="B159" i="1480"/>
  <c r="D161" i="1480"/>
  <c r="B158" i="1480"/>
  <c r="B157" i="1480"/>
  <c r="B156" i="1480"/>
  <c r="E153" i="1480"/>
  <c r="D153" i="1480"/>
  <c r="C153" i="1480"/>
  <c r="D168" i="1480" l="1"/>
  <c r="B161" i="1480"/>
  <c r="B168" i="1480"/>
  <c r="B19" i="1419" l="1"/>
  <c r="G19" i="1419" s="1"/>
  <c r="E10" i="1455" l="1"/>
  <c r="M102" i="1357" l="1"/>
  <c r="C60" i="1433"/>
  <c r="C60" i="1430"/>
  <c r="N45" i="1458" l="1"/>
  <c r="H45" i="1458"/>
  <c r="B21" i="1419" l="1"/>
  <c r="G37" i="1419"/>
  <c r="H104" i="1358"/>
  <c r="D155" i="1427" l="1"/>
  <c r="F155" i="1427" s="1"/>
  <c r="E155" i="1427" l="1"/>
  <c r="E17" i="1478"/>
  <c r="E18" i="1478" s="1"/>
  <c r="E22" i="1478" l="1"/>
  <c r="E21" i="1478"/>
  <c r="N31" i="1458"/>
  <c r="H31" i="1458"/>
  <c r="M101" i="1357" l="1"/>
  <c r="M100" i="1357"/>
  <c r="I20" i="1458"/>
  <c r="H20" i="1458"/>
  <c r="N20" i="1458" l="1"/>
  <c r="C106" i="1480"/>
  <c r="B105" i="1480"/>
  <c r="B104" i="1480"/>
  <c r="B103" i="1480"/>
  <c r="B102" i="1480"/>
  <c r="B101" i="1480"/>
  <c r="E106" i="1480"/>
  <c r="D106" i="1480"/>
  <c r="B100" i="1480"/>
  <c r="E99" i="1480"/>
  <c r="D99" i="1480"/>
  <c r="C99" i="1480"/>
  <c r="B98" i="1480"/>
  <c r="B97" i="1480"/>
  <c r="B96" i="1480"/>
  <c r="B95" i="1480"/>
  <c r="B94" i="1480"/>
  <c r="E91" i="1480"/>
  <c r="D91" i="1480"/>
  <c r="C91" i="1480"/>
  <c r="B142" i="1480"/>
  <c r="D143" i="1480"/>
  <c r="B143" i="1480" s="1"/>
  <c r="D141" i="1480"/>
  <c r="B137" i="1480"/>
  <c r="E147" i="1480"/>
  <c r="B146" i="1480"/>
  <c r="B145" i="1480"/>
  <c r="B144" i="1480"/>
  <c r="C147" i="1480"/>
  <c r="E140" i="1480"/>
  <c r="C140" i="1480"/>
  <c r="B139" i="1480"/>
  <c r="B138" i="1480"/>
  <c r="B136" i="1480"/>
  <c r="E132" i="1480"/>
  <c r="D132" i="1480"/>
  <c r="C132" i="1480"/>
  <c r="D121" i="1480"/>
  <c r="D126" i="1480" s="1"/>
  <c r="E126" i="1480"/>
  <c r="B125" i="1480"/>
  <c r="B124" i="1480"/>
  <c r="B123" i="1480"/>
  <c r="C126" i="1480"/>
  <c r="B122" i="1480"/>
  <c r="E120" i="1480"/>
  <c r="C120" i="1480"/>
  <c r="B119" i="1480"/>
  <c r="B118" i="1480"/>
  <c r="D120" i="1480"/>
  <c r="B117" i="1480"/>
  <c r="B116" i="1480"/>
  <c r="B115" i="1480"/>
  <c r="E112" i="1480"/>
  <c r="D112" i="1480"/>
  <c r="C112" i="1480"/>
  <c r="G12" i="1420"/>
  <c r="G13" i="1420"/>
  <c r="B15" i="1419"/>
  <c r="G15" i="1419" s="1"/>
  <c r="B120" i="1480" l="1"/>
  <c r="B106" i="1480"/>
  <c r="B99" i="1480"/>
  <c r="D140" i="1480"/>
  <c r="D147" i="1480"/>
  <c r="B141" i="1480"/>
  <c r="B147" i="1480" s="1"/>
  <c r="B135" i="1480"/>
  <c r="B140" i="1480" s="1"/>
  <c r="B121" i="1480"/>
  <c r="B126" i="1480" s="1"/>
  <c r="I97" i="1357" l="1"/>
  <c r="E70" i="1480" l="1"/>
  <c r="D70" i="1480"/>
  <c r="C70" i="1480"/>
  <c r="B62" i="1480" l="1"/>
  <c r="D54" i="1480"/>
  <c r="F34" i="1459" l="1"/>
  <c r="C148" i="1452" l="1"/>
  <c r="C143" i="1452"/>
  <c r="C136" i="1452"/>
  <c r="C132" i="1452"/>
  <c r="C117" i="1452"/>
  <c r="C96" i="1452"/>
  <c r="C84" i="1452"/>
  <c r="C80" i="1452"/>
  <c r="C77" i="1452"/>
  <c r="C72" i="1452"/>
  <c r="C68" i="1452"/>
  <c r="C62" i="1452"/>
  <c r="C57" i="1452"/>
  <c r="C51" i="1452"/>
  <c r="C39" i="1452"/>
  <c r="C31" i="1452"/>
  <c r="C24" i="1452"/>
  <c r="C17" i="1452"/>
  <c r="C8" i="1452"/>
  <c r="C91" i="1452" l="1"/>
  <c r="C156" i="1452"/>
  <c r="C67" i="1452"/>
  <c r="C131" i="1452"/>
  <c r="C157" i="1452" l="1"/>
  <c r="C92" i="1452"/>
  <c r="G151" i="1358"/>
  <c r="G146" i="1358"/>
  <c r="G139" i="1358"/>
  <c r="G135" i="1358"/>
  <c r="G125" i="1358"/>
  <c r="G120" i="1358" s="1"/>
  <c r="G117" i="1358"/>
  <c r="G104" i="1358"/>
  <c r="G97" i="1358"/>
  <c r="G86" i="1358"/>
  <c r="G82" i="1358"/>
  <c r="G79" i="1358"/>
  <c r="G74" i="1358"/>
  <c r="G70" i="1358"/>
  <c r="G64" i="1358"/>
  <c r="G59" i="1358"/>
  <c r="G53" i="1358"/>
  <c r="G41" i="1358"/>
  <c r="G35" i="1358"/>
  <c r="G34" i="1358" s="1"/>
  <c r="G27" i="1358"/>
  <c r="G20" i="1358"/>
  <c r="G14" i="1358"/>
  <c r="G11" i="1358" s="1"/>
  <c r="H151" i="1358"/>
  <c r="H146" i="1358"/>
  <c r="H139" i="1358"/>
  <c r="H135" i="1358"/>
  <c r="H125" i="1358"/>
  <c r="H120" i="1358" s="1"/>
  <c r="H117" i="1358"/>
  <c r="H86" i="1358"/>
  <c r="H82" i="1358"/>
  <c r="H79" i="1358"/>
  <c r="H74" i="1358"/>
  <c r="H70" i="1358"/>
  <c r="H64" i="1358"/>
  <c r="H59" i="1358"/>
  <c r="H53" i="1358"/>
  <c r="H41" i="1358"/>
  <c r="H35" i="1358"/>
  <c r="H34" i="1358" s="1"/>
  <c r="H27" i="1358"/>
  <c r="H20" i="1358"/>
  <c r="H14" i="1358"/>
  <c r="H11" i="1358" s="1"/>
  <c r="F151" i="1358"/>
  <c r="F146" i="1358"/>
  <c r="F139" i="1358"/>
  <c r="F135" i="1358"/>
  <c r="F125" i="1358"/>
  <c r="F120" i="1358" s="1"/>
  <c r="F117" i="1358"/>
  <c r="F104" i="1358"/>
  <c r="F86" i="1358"/>
  <c r="F82" i="1358"/>
  <c r="F79" i="1358"/>
  <c r="F74" i="1358"/>
  <c r="F70" i="1358"/>
  <c r="F64" i="1358"/>
  <c r="F59" i="1358"/>
  <c r="F53" i="1358"/>
  <c r="F41" i="1358"/>
  <c r="F35" i="1358"/>
  <c r="F34" i="1358" s="1"/>
  <c r="F27" i="1358"/>
  <c r="F20" i="1358"/>
  <c r="F14" i="1358"/>
  <c r="F11" i="1358" s="1"/>
  <c r="D14" i="1358"/>
  <c r="F99" i="1358" l="1"/>
  <c r="F134" i="1358" s="1"/>
  <c r="H99" i="1358"/>
  <c r="H134" i="1358" s="1"/>
  <c r="H159" i="1358"/>
  <c r="G99" i="1358"/>
  <c r="G134" i="1358" s="1"/>
  <c r="G159" i="1358"/>
  <c r="G93" i="1358"/>
  <c r="F69" i="1358"/>
  <c r="F93" i="1358"/>
  <c r="F159" i="1358"/>
  <c r="H93" i="1358"/>
  <c r="G69" i="1358"/>
  <c r="H69" i="1358"/>
  <c r="F160" i="1358" l="1"/>
  <c r="G160" i="1358"/>
  <c r="G94" i="1358"/>
  <c r="H160" i="1358"/>
  <c r="H94" i="1358"/>
  <c r="F94" i="1358"/>
  <c r="B32" i="1419" l="1"/>
  <c r="F32" i="1419"/>
  <c r="G34" i="1419"/>
  <c r="G33" i="1419"/>
  <c r="G8" i="1419" l="1"/>
  <c r="G22" i="1419" l="1"/>
  <c r="G21" i="1419"/>
  <c r="F16" i="1419"/>
  <c r="D16" i="1419"/>
  <c r="D39" i="1357" l="1"/>
  <c r="D137" i="1357"/>
  <c r="E52" i="1456"/>
  <c r="E46" i="1456"/>
  <c r="E38" i="1456"/>
  <c r="E27" i="1456"/>
  <c r="E21" i="1456"/>
  <c r="E14" i="1456"/>
  <c r="A1" i="1454"/>
  <c r="D12" i="1453"/>
  <c r="H12" i="1453"/>
  <c r="E34" i="1456" l="1"/>
  <c r="E41" i="1456"/>
  <c r="E42" i="1456" l="1"/>
  <c r="E54" i="1456" s="1"/>
  <c r="A1" i="1453"/>
  <c r="A1" i="1418"/>
  <c r="A1" i="1416"/>
  <c r="C19" i="1416"/>
  <c r="E7" i="1419" l="1"/>
  <c r="F43" i="1419" l="1"/>
  <c r="F7" i="1419"/>
  <c r="B43" i="1419" l="1"/>
  <c r="G45" i="1419"/>
  <c r="H19" i="1458"/>
  <c r="G16" i="1420"/>
  <c r="E64" i="1480" l="1"/>
  <c r="C64" i="1480"/>
  <c r="B63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D42" i="1480"/>
  <c r="B33" i="1480"/>
  <c r="E49" i="1480"/>
  <c r="D49" i="1480"/>
  <c r="C49" i="1480"/>
  <c r="E42" i="1480"/>
  <c r="C42" i="1480"/>
  <c r="B41" i="1480"/>
  <c r="B40" i="1480"/>
  <c r="B39" i="1480"/>
  <c r="B38" i="1480"/>
  <c r="B37" i="1480"/>
  <c r="E36" i="1480"/>
  <c r="D36" i="1480"/>
  <c r="C36" i="1480"/>
  <c r="B35" i="1480"/>
  <c r="B34" i="1480"/>
  <c r="B32" i="1480"/>
  <c r="B31" i="1480"/>
  <c r="E28" i="1480"/>
  <c r="D28" i="1480"/>
  <c r="C28" i="1480"/>
  <c r="G14" i="1420"/>
  <c r="G20" i="1419"/>
  <c r="G27" i="1419"/>
  <c r="B57" i="1480" l="1"/>
  <c r="B64" i="1480"/>
  <c r="D64" i="1480"/>
  <c r="B42" i="1480"/>
  <c r="B36" i="1480"/>
  <c r="C19" i="1357" l="1"/>
  <c r="N30" i="1458" l="1"/>
  <c r="H30" i="1458"/>
  <c r="D32" i="1457"/>
  <c r="D39" i="1457" s="1"/>
  <c r="N43" i="1458" l="1"/>
  <c r="H43" i="1458"/>
  <c r="E7" i="1420" l="1"/>
  <c r="E17" i="1420" s="1"/>
  <c r="C19" i="1465" l="1"/>
  <c r="D125" i="1359" l="1"/>
  <c r="E125" i="1359"/>
  <c r="F125" i="1359"/>
  <c r="G125" i="1359"/>
  <c r="H125" i="1359"/>
  <c r="C129" i="1357"/>
  <c r="C56" i="1463" l="1"/>
  <c r="C55" i="1462"/>
  <c r="C59" i="1466" l="1"/>
  <c r="C59" i="1465"/>
  <c r="A1" i="1459" l="1"/>
  <c r="A1" i="1477"/>
  <c r="A1" i="1464"/>
  <c r="A1" i="1432"/>
  <c r="A1" i="1399" l="1"/>
  <c r="H21" i="1453" l="1"/>
  <c r="G21" i="1453"/>
  <c r="F21" i="1453"/>
  <c r="E21" i="1453"/>
  <c r="I20" i="1453"/>
  <c r="I16" i="1453"/>
  <c r="D21" i="1453"/>
  <c r="I15" i="1450" l="1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F16" i="1450" l="1"/>
  <c r="H16" i="1450"/>
  <c r="I16" i="1450"/>
  <c r="E16" i="1450"/>
  <c r="G16" i="1450"/>
  <c r="C18" i="1358" l="1"/>
  <c r="C154" i="1428"/>
  <c r="G11" i="1420"/>
  <c r="D7" i="1419"/>
  <c r="B69" i="1480" l="1"/>
  <c r="B90" i="1480" s="1"/>
  <c r="B111" i="1480" s="1"/>
  <c r="B131" i="1480" s="1"/>
  <c r="B18" i="1450" l="1"/>
  <c r="K18" i="1450"/>
  <c r="G9" i="1420" l="1"/>
  <c r="G8" i="1420"/>
  <c r="B16" i="1419" l="1"/>
  <c r="B7" i="1419" s="1"/>
  <c r="G18" i="1419" l="1"/>
  <c r="G13" i="1419"/>
  <c r="G11" i="1419"/>
  <c r="G10" i="1419"/>
  <c r="G9" i="1419"/>
  <c r="C16" i="1418"/>
  <c r="F19" i="1416"/>
  <c r="G19" i="1416"/>
  <c r="H18" i="1416"/>
  <c r="E5" i="1362" l="1"/>
  <c r="C102" i="1358"/>
  <c r="H151" i="1359"/>
  <c r="G151" i="1359"/>
  <c r="F151" i="1359"/>
  <c r="E151" i="1359"/>
  <c r="D151" i="1359"/>
  <c r="H146" i="1359"/>
  <c r="G146" i="1359"/>
  <c r="F146" i="1359"/>
  <c r="E146" i="1359"/>
  <c r="D146" i="1359"/>
  <c r="H139" i="1359"/>
  <c r="G139" i="1359"/>
  <c r="F139" i="1359"/>
  <c r="E139" i="1359"/>
  <c r="D139" i="1359"/>
  <c r="H135" i="1359"/>
  <c r="G135" i="1359"/>
  <c r="F135" i="1359"/>
  <c r="E135" i="1359"/>
  <c r="D135" i="1359"/>
  <c r="H120" i="1359"/>
  <c r="G120" i="1359"/>
  <c r="F120" i="1359"/>
  <c r="E120" i="1359"/>
  <c r="D120" i="1359"/>
  <c r="H117" i="1359"/>
  <c r="G117" i="1359"/>
  <c r="F117" i="1359"/>
  <c r="E117" i="1359"/>
  <c r="D117" i="1359"/>
  <c r="H104" i="1359"/>
  <c r="G104" i="1359"/>
  <c r="F104" i="1359"/>
  <c r="E104" i="1359"/>
  <c r="D104" i="1359"/>
  <c r="H97" i="1359"/>
  <c r="G97" i="1359"/>
  <c r="F97" i="1359"/>
  <c r="E97" i="1359"/>
  <c r="D97" i="1359"/>
  <c r="H86" i="1359"/>
  <c r="G86" i="1359"/>
  <c r="F86" i="1359"/>
  <c r="E86" i="1359"/>
  <c r="D86" i="1359"/>
  <c r="H82" i="1359"/>
  <c r="G82" i="1359"/>
  <c r="F82" i="1359"/>
  <c r="E82" i="1359"/>
  <c r="D82" i="1359"/>
  <c r="H79" i="1359"/>
  <c r="G79" i="1359"/>
  <c r="F79" i="1359"/>
  <c r="E79" i="1359"/>
  <c r="D79" i="1359"/>
  <c r="H74" i="1359"/>
  <c r="G74" i="1359"/>
  <c r="F74" i="1359"/>
  <c r="E74" i="1359"/>
  <c r="D74" i="1359"/>
  <c r="H70" i="1359"/>
  <c r="G70" i="1359"/>
  <c r="F70" i="1359"/>
  <c r="E70" i="1359"/>
  <c r="D70" i="1359"/>
  <c r="H64" i="1359"/>
  <c r="G64" i="1359"/>
  <c r="F64" i="1359"/>
  <c r="E64" i="1359"/>
  <c r="D64" i="1359"/>
  <c r="H59" i="1359"/>
  <c r="G59" i="1359"/>
  <c r="F59" i="1359"/>
  <c r="E59" i="1359"/>
  <c r="D59" i="1359"/>
  <c r="H53" i="1359"/>
  <c r="G53" i="1359"/>
  <c r="F53" i="1359"/>
  <c r="E53" i="1359"/>
  <c r="D53" i="1359"/>
  <c r="H41" i="1359"/>
  <c r="G41" i="1359"/>
  <c r="F41" i="1359"/>
  <c r="E41" i="1359"/>
  <c r="D41" i="1359"/>
  <c r="H35" i="1359"/>
  <c r="H34" i="1359" s="1"/>
  <c r="G35" i="1359"/>
  <c r="G34" i="1359" s="1"/>
  <c r="F35" i="1359"/>
  <c r="F34" i="1359" s="1"/>
  <c r="E35" i="1359"/>
  <c r="E34" i="1359" s="1"/>
  <c r="D35" i="1359"/>
  <c r="D34" i="1359" s="1"/>
  <c r="H27" i="1359"/>
  <c r="G27" i="1359"/>
  <c r="F27" i="1359"/>
  <c r="E27" i="1359"/>
  <c r="D27" i="1359"/>
  <c r="H20" i="1359"/>
  <c r="G20" i="1359"/>
  <c r="F20" i="1359"/>
  <c r="E20" i="1359"/>
  <c r="D20" i="1359"/>
  <c r="H14" i="1359"/>
  <c r="H11" i="1359" s="1"/>
  <c r="G14" i="1359"/>
  <c r="G11" i="1359" s="1"/>
  <c r="F14" i="1359"/>
  <c r="F11" i="1359" s="1"/>
  <c r="E14" i="1359"/>
  <c r="E11" i="1359" s="1"/>
  <c r="D14" i="1359"/>
  <c r="D11" i="1359" s="1"/>
  <c r="E151" i="1358"/>
  <c r="E146" i="1358"/>
  <c r="E139" i="1358"/>
  <c r="E135" i="1358"/>
  <c r="E125" i="1358"/>
  <c r="E120" i="1358" s="1"/>
  <c r="E117" i="1358"/>
  <c r="E104" i="1358"/>
  <c r="H97" i="1358"/>
  <c r="F97" i="1358"/>
  <c r="E97" i="1358"/>
  <c r="E86" i="1358"/>
  <c r="E82" i="1358"/>
  <c r="E79" i="1358"/>
  <c r="E74" i="1358"/>
  <c r="E70" i="1358"/>
  <c r="E64" i="1358"/>
  <c r="E59" i="1358"/>
  <c r="E53" i="1358"/>
  <c r="E35" i="1358"/>
  <c r="E34" i="1358" s="1"/>
  <c r="E27" i="1358"/>
  <c r="E20" i="1358"/>
  <c r="E14" i="1358"/>
  <c r="E11" i="1358" s="1"/>
  <c r="D11" i="1358"/>
  <c r="D69" i="1358" s="1"/>
  <c r="D94" i="1358" s="1"/>
  <c r="C100" i="1357"/>
  <c r="E97" i="1357"/>
  <c r="F97" i="1357"/>
  <c r="G97" i="1357"/>
  <c r="H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H69" i="1359" l="1"/>
  <c r="D159" i="1359"/>
  <c r="E159" i="1359"/>
  <c r="F159" i="1359"/>
  <c r="G159" i="1359"/>
  <c r="E69" i="1359"/>
  <c r="F69" i="1359"/>
  <c r="G69" i="1359"/>
  <c r="E93" i="1358"/>
  <c r="H159" i="1359"/>
  <c r="D93" i="1359"/>
  <c r="H93" i="1359"/>
  <c r="H94" i="1359" s="1"/>
  <c r="E159" i="1358"/>
  <c r="F93" i="1359"/>
  <c r="G93" i="1359"/>
  <c r="E99" i="1359"/>
  <c r="E134" i="1359" s="1"/>
  <c r="G99" i="1359"/>
  <c r="G134" i="1359" s="1"/>
  <c r="G160" i="1359" s="1"/>
  <c r="F99" i="1359"/>
  <c r="F134" i="1359" s="1"/>
  <c r="H99" i="1359"/>
  <c r="H134" i="1359" s="1"/>
  <c r="G99" i="1357"/>
  <c r="G134" i="1357" s="1"/>
  <c r="E41" i="1358"/>
  <c r="E69" i="1358" s="1"/>
  <c r="F99" i="1357"/>
  <c r="F134" i="1357" s="1"/>
  <c r="G93" i="1357"/>
  <c r="H99" i="1357"/>
  <c r="H134" i="1357" s="1"/>
  <c r="E99" i="1358"/>
  <c r="E134" i="1358" s="1"/>
  <c r="H93" i="1357"/>
  <c r="E93" i="1359"/>
  <c r="D99" i="1359"/>
  <c r="D134" i="1359" s="1"/>
  <c r="D160" i="1359" s="1"/>
  <c r="D69" i="1359"/>
  <c r="H69" i="1357"/>
  <c r="G69" i="1357"/>
  <c r="F93" i="1357"/>
  <c r="F69" i="1357"/>
  <c r="H64" i="1458"/>
  <c r="H25" i="1458"/>
  <c r="E94" i="1359" l="1"/>
  <c r="F160" i="1359"/>
  <c r="E160" i="1359"/>
  <c r="G94" i="1359"/>
  <c r="H160" i="1359"/>
  <c r="F94" i="1359"/>
  <c r="G94" i="1357"/>
  <c r="H94" i="1357"/>
  <c r="N25" i="1458"/>
  <c r="E94" i="1358"/>
  <c r="E160" i="1358"/>
  <c r="D94" i="1359"/>
  <c r="F94" i="1357"/>
  <c r="N64" i="1458"/>
  <c r="N26" i="1458" l="1"/>
  <c r="H26" i="1458"/>
  <c r="D19" i="1416" l="1"/>
  <c r="E19" i="1416"/>
  <c r="J17" i="1458" l="1"/>
  <c r="G12" i="1419" l="1"/>
  <c r="N19" i="1458" l="1"/>
  <c r="F7" i="1420" l="1"/>
  <c r="F17" i="1420" s="1"/>
  <c r="G17" i="1419"/>
  <c r="C19" i="1362"/>
  <c r="B7" i="1420" l="1"/>
  <c r="B17" i="1420" s="1"/>
  <c r="G16" i="1419" l="1"/>
  <c r="H59" i="1458"/>
  <c r="H60" i="1458"/>
  <c r="H61" i="1458"/>
  <c r="H62" i="1458"/>
  <c r="H63" i="1458"/>
  <c r="A1" i="1359" l="1"/>
  <c r="A1" i="1358"/>
  <c r="A1" i="1357"/>
  <c r="N66" i="1458"/>
  <c r="N65" i="1458"/>
  <c r="N63" i="1458"/>
  <c r="N62" i="1458"/>
  <c r="N61" i="1458"/>
  <c r="N60" i="1458"/>
  <c r="N59" i="1458"/>
  <c r="N58" i="1458" l="1"/>
  <c r="H58" i="1458"/>
  <c r="N51" i="1458"/>
  <c r="H51" i="1458"/>
  <c r="I19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J14" i="1450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E42" i="1471"/>
  <c r="F42" i="1471" s="1"/>
  <c r="E40" i="1471"/>
  <c r="F40" i="1471" s="1"/>
  <c r="E39" i="1471"/>
  <c r="F39" i="1471" s="1"/>
  <c r="E38" i="1471"/>
  <c r="F38" i="1471" s="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E29" i="1471"/>
  <c r="F29" i="1471" s="1"/>
  <c r="E28" i="1471"/>
  <c r="F28" i="1471" s="1"/>
  <c r="E27" i="1471"/>
  <c r="F27" i="1471" s="1"/>
  <c r="E26" i="1471"/>
  <c r="F26" i="1471" s="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4" i="1419"/>
  <c r="C35" i="1462" l="1"/>
  <c r="B12" i="1450" s="1"/>
  <c r="K12" i="1450"/>
  <c r="J16" i="1450"/>
  <c r="K13" i="1450"/>
  <c r="E19" i="1475"/>
  <c r="F19" i="1475" s="1"/>
  <c r="E7" i="1475"/>
  <c r="F7" i="1475" s="1"/>
  <c r="E36" i="1462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E25" i="1471"/>
  <c r="F25" i="1471" s="1"/>
  <c r="E37" i="1471"/>
  <c r="F37" i="1471" s="1"/>
  <c r="E49" i="1471"/>
  <c r="F49" i="1471" s="1"/>
  <c r="C36" i="1475"/>
  <c r="F45" i="1475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E43" i="1471"/>
  <c r="F43" i="1471" s="1"/>
  <c r="C42" i="1462"/>
  <c r="C54" i="1462" s="1"/>
  <c r="C36" i="1466"/>
  <c r="C57" i="1467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12" i="1450" l="1"/>
  <c r="D12" i="1450" s="1"/>
  <c r="C41" i="1475"/>
  <c r="B15" i="1450"/>
  <c r="C15" i="1450" s="1"/>
  <c r="D15" i="1450" s="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E40" i="1462"/>
  <c r="F43" i="1475"/>
  <c r="C55" i="1476"/>
  <c r="E55" i="1475" s="1"/>
  <c r="F55" i="1475" s="1"/>
  <c r="C41" i="1476"/>
  <c r="E41" i="1475" s="1"/>
  <c r="E54" i="1462"/>
  <c r="F54" i="1462" s="1"/>
  <c r="F36" i="1475"/>
  <c r="E55" i="1471"/>
  <c r="F55" i="1471" s="1"/>
  <c r="E41" i="1471"/>
  <c r="F42" i="1462"/>
  <c r="C41" i="1466"/>
  <c r="E41" i="1465" s="1"/>
  <c r="E36" i="1465"/>
  <c r="F36" i="1465" s="1"/>
  <c r="C40" i="1462"/>
  <c r="F41" i="1465" l="1"/>
  <c r="F41" i="1471"/>
  <c r="F41" i="1475"/>
  <c r="F40" i="1462"/>
  <c r="N14" i="1458"/>
  <c r="H14" i="1458"/>
  <c r="D57" i="1452" l="1"/>
  <c r="D62" i="1452"/>
  <c r="D11" i="1452"/>
  <c r="D8" i="1452" s="1"/>
  <c r="D122" i="1452"/>
  <c r="F36" i="1452"/>
  <c r="B12" i="1451" l="1"/>
  <c r="B24" i="1451" s="1"/>
  <c r="D30" i="1427" l="1"/>
  <c r="D7" i="1420"/>
  <c r="D17" i="1420" s="1"/>
  <c r="G7" i="1420" l="1"/>
  <c r="D14" i="1357"/>
  <c r="D125" i="1357" l="1"/>
  <c r="N52" i="1458" l="1"/>
  <c r="H52" i="1458"/>
  <c r="N40" i="1458"/>
  <c r="H40" i="1458"/>
  <c r="G36" i="1419"/>
  <c r="G31" i="1419"/>
  <c r="G30" i="1419"/>
  <c r="G29" i="1419" l="1"/>
  <c r="E47" i="1419" l="1"/>
  <c r="D41" i="1357" l="1"/>
  <c r="N56" i="1458" l="1"/>
  <c r="H56" i="1458"/>
  <c r="I18" i="1453"/>
  <c r="G7" i="1419"/>
  <c r="H17" i="1416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2" i="1459"/>
  <c r="E36" i="1459" s="1"/>
  <c r="E38" i="1459" s="1"/>
  <c r="F32" i="1459"/>
  <c r="F36" i="1459" s="1"/>
  <c r="F38" i="1459" s="1"/>
  <c r="D32" i="1459"/>
  <c r="D36" i="1459" s="1"/>
  <c r="D38" i="1459" s="1"/>
  <c r="C32" i="1459"/>
  <c r="C36" i="1459" s="1"/>
  <c r="C38" i="1459" s="1"/>
  <c r="F29" i="1459"/>
  <c r="E29" i="1459"/>
  <c r="D29" i="1459"/>
  <c r="C29" i="1459"/>
  <c r="F28" i="1459"/>
  <c r="F13" i="1459"/>
  <c r="E13" i="1459"/>
  <c r="D13" i="1459"/>
  <c r="D12" i="1459" s="1"/>
  <c r="C13" i="1459"/>
  <c r="C12" i="1459" s="1"/>
  <c r="C23" i="1459" s="1"/>
  <c r="C25" i="1459" s="1"/>
  <c r="M70" i="1458"/>
  <c r="M72" i="1458" s="1"/>
  <c r="L70" i="1458"/>
  <c r="L72" i="1458" s="1"/>
  <c r="F70" i="1458"/>
  <c r="F72" i="1458" s="1"/>
  <c r="N69" i="1458"/>
  <c r="H69" i="1458"/>
  <c r="N68" i="1458"/>
  <c r="H66" i="1458"/>
  <c r="H65" i="1458"/>
  <c r="N54" i="1458"/>
  <c r="H54" i="1458"/>
  <c r="N53" i="1458"/>
  <c r="H53" i="1458"/>
  <c r="N50" i="1458"/>
  <c r="H50" i="1458"/>
  <c r="N48" i="1458"/>
  <c r="H48" i="1458"/>
  <c r="H47" i="1458"/>
  <c r="N46" i="1458"/>
  <c r="H46" i="1458"/>
  <c r="N44" i="1458"/>
  <c r="H44" i="1458"/>
  <c r="N41" i="1458"/>
  <c r="H41" i="1458"/>
  <c r="N39" i="1458"/>
  <c r="H39" i="1458"/>
  <c r="N37" i="1458"/>
  <c r="H37" i="1458"/>
  <c r="N36" i="1458"/>
  <c r="H36" i="1458"/>
  <c r="N35" i="1458"/>
  <c r="H35" i="1458"/>
  <c r="H34" i="1458"/>
  <c r="N32" i="1458"/>
  <c r="H32" i="1458"/>
  <c r="N29" i="1458"/>
  <c r="H29" i="1458"/>
  <c r="N28" i="1458"/>
  <c r="H28" i="1458"/>
  <c r="J70" i="1458"/>
  <c r="J72" i="1458" s="1"/>
  <c r="H24" i="1458"/>
  <c r="N23" i="1458"/>
  <c r="H23" i="1458"/>
  <c r="N22" i="1458"/>
  <c r="H22" i="1458"/>
  <c r="H21" i="1458"/>
  <c r="N18" i="1458"/>
  <c r="H18" i="1458"/>
  <c r="N17" i="1458"/>
  <c r="H17" i="1458"/>
  <c r="G70" i="1458"/>
  <c r="G72" i="1458" s="1"/>
  <c r="H13" i="1458"/>
  <c r="N12" i="1458"/>
  <c r="H12" i="1458"/>
  <c r="N11" i="1458"/>
  <c r="D70" i="1458"/>
  <c r="D72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17" i="1453"/>
  <c r="I15" i="1453"/>
  <c r="I13" i="1453"/>
  <c r="I14" i="1453"/>
  <c r="I12" i="1453"/>
  <c r="I11" i="1453"/>
  <c r="H148" i="1452"/>
  <c r="G148" i="1452"/>
  <c r="F148" i="1452"/>
  <c r="D148" i="1452"/>
  <c r="F145" i="1452"/>
  <c r="F143" i="1452" s="1"/>
  <c r="H143" i="1452"/>
  <c r="G143" i="1452"/>
  <c r="D143" i="1452"/>
  <c r="H136" i="1452"/>
  <c r="G136" i="1452"/>
  <c r="F136" i="1452"/>
  <c r="D136" i="1452"/>
  <c r="F133" i="1452"/>
  <c r="F132" i="1452" s="1"/>
  <c r="H132" i="1452"/>
  <c r="G132" i="1452"/>
  <c r="D132" i="1452"/>
  <c r="F130" i="1452"/>
  <c r="F122" i="1452" s="1"/>
  <c r="G122" i="1452"/>
  <c r="D117" i="1452"/>
  <c r="F121" i="1452"/>
  <c r="F120" i="1452"/>
  <c r="F119" i="1452"/>
  <c r="H118" i="1452"/>
  <c r="H117" i="1452" s="1"/>
  <c r="G118" i="1452"/>
  <c r="F118" i="1452"/>
  <c r="F116" i="1452"/>
  <c r="F114" i="1452" s="1"/>
  <c r="G114" i="1452"/>
  <c r="F113" i="1452"/>
  <c r="F108" i="1452"/>
  <c r="G101" i="1452"/>
  <c r="D101" i="1452"/>
  <c r="D96" i="1452" s="1"/>
  <c r="F100" i="1452"/>
  <c r="H99" i="1452"/>
  <c r="G99" i="1452"/>
  <c r="F99" i="1452"/>
  <c r="H98" i="1452"/>
  <c r="G98" i="1452"/>
  <c r="F98" i="1452"/>
  <c r="H97" i="1452"/>
  <c r="G97" i="1452"/>
  <c r="F97" i="1452"/>
  <c r="E94" i="1452"/>
  <c r="D94" i="1452"/>
  <c r="C94" i="1452"/>
  <c r="H84" i="1452"/>
  <c r="G84" i="1452"/>
  <c r="F84" i="1452"/>
  <c r="D84" i="1452"/>
  <c r="H80" i="1452"/>
  <c r="G80" i="1452"/>
  <c r="F80" i="1452"/>
  <c r="D80" i="1452"/>
  <c r="H78" i="1452"/>
  <c r="H77" i="1452" s="1"/>
  <c r="G78" i="1452"/>
  <c r="G77" i="1452" s="1"/>
  <c r="F78" i="1452"/>
  <c r="F77" i="1452" s="1"/>
  <c r="D77" i="1452"/>
  <c r="H72" i="1452"/>
  <c r="G72" i="1452"/>
  <c r="F72" i="1452"/>
  <c r="D72" i="1452"/>
  <c r="F69" i="1452"/>
  <c r="F68" i="1452" s="1"/>
  <c r="H68" i="1452"/>
  <c r="G68" i="1452"/>
  <c r="D68" i="1452"/>
  <c r="H62" i="1452"/>
  <c r="G62" i="1452"/>
  <c r="F62" i="1452"/>
  <c r="F60" i="1452"/>
  <c r="F59" i="1452"/>
  <c r="H57" i="1452"/>
  <c r="G57" i="1452"/>
  <c r="G54" i="1452"/>
  <c r="G51" i="1452" s="1"/>
  <c r="F53" i="1452"/>
  <c r="F51" i="1452" s="1"/>
  <c r="H51" i="1452"/>
  <c r="D51" i="1452"/>
  <c r="G50" i="1452"/>
  <c r="F50" i="1452"/>
  <c r="F49" i="1452"/>
  <c r="H46" i="1452"/>
  <c r="H45" i="1452"/>
  <c r="G45" i="1452"/>
  <c r="F45" i="1452"/>
  <c r="H44" i="1452"/>
  <c r="F43" i="1452"/>
  <c r="H42" i="1452"/>
  <c r="G42" i="1452"/>
  <c r="F42" i="1452"/>
  <c r="H41" i="1452"/>
  <c r="G41" i="1452"/>
  <c r="F41" i="1452"/>
  <c r="F40" i="1452"/>
  <c r="D39" i="1452"/>
  <c r="F38" i="1452"/>
  <c r="F34" i="1452"/>
  <c r="F33" i="1452"/>
  <c r="H32" i="1452"/>
  <c r="H31" i="1452" s="1"/>
  <c r="G32" i="1452"/>
  <c r="G31" i="1452" s="1"/>
  <c r="D32" i="1452"/>
  <c r="D31" i="1452" s="1"/>
  <c r="F30" i="1452"/>
  <c r="F29" i="1452"/>
  <c r="F24" i="1452" s="1"/>
  <c r="H24" i="1452"/>
  <c r="G24" i="1452"/>
  <c r="D24" i="1452"/>
  <c r="F23" i="1452"/>
  <c r="F22" i="1452"/>
  <c r="F17" i="1452" s="1"/>
  <c r="H17" i="1452"/>
  <c r="G17" i="1452"/>
  <c r="D17" i="1452"/>
  <c r="F15" i="1452"/>
  <c r="F14" i="1452"/>
  <c r="F11" i="1452"/>
  <c r="H8" i="1452"/>
  <c r="G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4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4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4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3" i="1419"/>
  <c r="F35" i="1419"/>
  <c r="D35" i="1419"/>
  <c r="B35" i="1419"/>
  <c r="D32" i="1419"/>
  <c r="F28" i="1419"/>
  <c r="B28" i="1419"/>
  <c r="C13" i="1417"/>
  <c r="H15" i="1416"/>
  <c r="H14" i="1416"/>
  <c r="H13" i="1416"/>
  <c r="H11" i="1416"/>
  <c r="H12" i="1416"/>
  <c r="H10" i="1416"/>
  <c r="H9" i="1416"/>
  <c r="H8" i="1416"/>
  <c r="F12" i="1459" l="1"/>
  <c r="F23" i="1459" s="1"/>
  <c r="F25" i="1459" s="1"/>
  <c r="F39" i="1459" s="1"/>
  <c r="E12" i="1459"/>
  <c r="E23" i="1459" s="1"/>
  <c r="E25" i="1459" s="1"/>
  <c r="E39" i="1459" s="1"/>
  <c r="I21" i="1453"/>
  <c r="D23" i="1459"/>
  <c r="D25" i="1459" s="1"/>
  <c r="D39" i="1459" s="1"/>
  <c r="F8" i="1452"/>
  <c r="E50" i="1430"/>
  <c r="F46" i="1419"/>
  <c r="B46" i="1419"/>
  <c r="D46" i="1419"/>
  <c r="D47" i="1419" s="1"/>
  <c r="G117" i="1452"/>
  <c r="F117" i="1452"/>
  <c r="G35" i="1419"/>
  <c r="G43" i="1419"/>
  <c r="G28" i="1419"/>
  <c r="G32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G39" i="1452"/>
  <c r="G67" i="1452" s="1"/>
  <c r="E12" i="1427"/>
  <c r="E104" i="1427"/>
  <c r="D31" i="1427"/>
  <c r="F31" i="1427" s="1"/>
  <c r="F57" i="1427"/>
  <c r="F78" i="1427"/>
  <c r="D38" i="1430"/>
  <c r="E38" i="1430" s="1"/>
  <c r="O24" i="1455"/>
  <c r="I70" i="1458"/>
  <c r="I72" i="1458" s="1"/>
  <c r="F8" i="1427"/>
  <c r="D74" i="1458"/>
  <c r="D73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32" i="1452"/>
  <c r="F31" i="1452" s="1"/>
  <c r="F39" i="1452"/>
  <c r="H96" i="1452"/>
  <c r="H131" i="1452" s="1"/>
  <c r="G96" i="1452"/>
  <c r="G156" i="1452"/>
  <c r="G16" i="1455"/>
  <c r="O8" i="1455"/>
  <c r="O10" i="1455"/>
  <c r="I16" i="1455"/>
  <c r="O13" i="1455"/>
  <c r="O22" i="1455"/>
  <c r="F101" i="1452"/>
  <c r="F96" i="1452" s="1"/>
  <c r="F82" i="1427"/>
  <c r="E74" i="1458"/>
  <c r="E64" i="1427"/>
  <c r="E59" i="1430"/>
  <c r="H156" i="1452"/>
  <c r="F98" i="1427"/>
  <c r="F117" i="1427"/>
  <c r="G91" i="1452"/>
  <c r="E98" i="1427"/>
  <c r="E140" i="1427"/>
  <c r="D91" i="1452"/>
  <c r="E20" i="1427"/>
  <c r="E26" i="1427"/>
  <c r="O11" i="1455"/>
  <c r="E28" i="1455"/>
  <c r="G28" i="1455"/>
  <c r="O20" i="1455"/>
  <c r="O26" i="1455"/>
  <c r="D118" i="1427"/>
  <c r="H16" i="1416"/>
  <c r="H19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4" i="1458"/>
  <c r="G73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C37" i="1430"/>
  <c r="C57" i="1432"/>
  <c r="C36" i="1433"/>
  <c r="C41" i="1433" s="1"/>
  <c r="H39" i="1452"/>
  <c r="H67" i="1452" s="1"/>
  <c r="F57" i="1452"/>
  <c r="F91" i="1452"/>
  <c r="H91" i="1452"/>
  <c r="N13" i="1458"/>
  <c r="H15" i="1458"/>
  <c r="D67" i="1452"/>
  <c r="D131" i="1452"/>
  <c r="F156" i="1452"/>
  <c r="D156" i="1452"/>
  <c r="E16" i="1455"/>
  <c r="D28" i="1455"/>
  <c r="I28" i="1455"/>
  <c r="O19" i="1455"/>
  <c r="O23" i="1455"/>
  <c r="N24" i="1458"/>
  <c r="N47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B19" i="1450" s="1"/>
  <c r="C45" i="1430"/>
  <c r="D46" i="1430"/>
  <c r="E46" i="1430" s="1"/>
  <c r="E47" i="1430"/>
  <c r="F73" i="1458"/>
  <c r="L73" i="1458"/>
  <c r="O15" i="1455"/>
  <c r="O18" i="1455"/>
  <c r="N34" i="1458"/>
  <c r="C28" i="1455"/>
  <c r="M73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70" i="1458"/>
  <c r="C72" i="1458" s="1"/>
  <c r="H9" i="1458"/>
  <c r="H11" i="1458"/>
  <c r="N21" i="1458"/>
  <c r="E70" i="1458"/>
  <c r="E72" i="1458" s="1"/>
  <c r="H68" i="1458"/>
  <c r="M99" i="1357" l="1"/>
  <c r="F131" i="1452"/>
  <c r="F157" i="1452" s="1"/>
  <c r="G131" i="1452"/>
  <c r="G157" i="1452" s="1"/>
  <c r="E76" i="1427"/>
  <c r="G46" i="1419"/>
  <c r="E109" i="1427"/>
  <c r="F29" i="1455"/>
  <c r="F23" i="1427"/>
  <c r="D45" i="1430"/>
  <c r="E45" i="1430" s="1"/>
  <c r="E73" i="1458"/>
  <c r="E144" i="1427"/>
  <c r="E141" i="1427"/>
  <c r="E48" i="1427"/>
  <c r="D97" i="1427"/>
  <c r="F97" i="1427" s="1"/>
  <c r="D89" i="1427"/>
  <c r="F39" i="1427"/>
  <c r="F30" i="1427"/>
  <c r="F67" i="1452"/>
  <c r="F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47" i="1419"/>
  <c r="D113" i="1427"/>
  <c r="E75" i="1427"/>
  <c r="E11" i="1427"/>
  <c r="H92" i="1452"/>
  <c r="H157" i="1452"/>
  <c r="I29" i="1455"/>
  <c r="D41" i="1430"/>
  <c r="E58" i="1427"/>
  <c r="E29" i="1455"/>
  <c r="D92" i="1452"/>
  <c r="G92" i="1452"/>
  <c r="D157" i="1452"/>
  <c r="D29" i="1455"/>
  <c r="F47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70" i="1458"/>
  <c r="H72" i="1458" s="1"/>
  <c r="O28" i="1455"/>
  <c r="C29" i="1455"/>
  <c r="C57" i="1430"/>
  <c r="H153" i="1427" s="1"/>
  <c r="E37" i="1427"/>
  <c r="F37" i="1427"/>
  <c r="I74" i="1458"/>
  <c r="C74" i="1458"/>
  <c r="H74" i="1458" s="1"/>
  <c r="C11" i="1450" l="1"/>
  <c r="C16" i="1450" s="1"/>
  <c r="K16" i="1450"/>
  <c r="K19" i="1450" s="1"/>
  <c r="O29" i="1455"/>
  <c r="G47" i="1419"/>
  <c r="F89" i="1427"/>
  <c r="E89" i="1427"/>
  <c r="E97" i="1427"/>
  <c r="D90" i="1427"/>
  <c r="D65" i="1427"/>
  <c r="E65" i="1427" s="1"/>
  <c r="F10" i="1427"/>
  <c r="E10" i="1427"/>
  <c r="E57" i="1430"/>
  <c r="E41" i="1430"/>
  <c r="I73" i="1458"/>
  <c r="E152" i="1427"/>
  <c r="F152" i="1427"/>
  <c r="C73" i="1458"/>
  <c r="H73" i="1458"/>
  <c r="E92" i="1427"/>
  <c r="F92" i="1427"/>
  <c r="J74" i="1458"/>
  <c r="J73" i="1458" s="1"/>
  <c r="E113" i="1427"/>
  <c r="F113" i="1427"/>
  <c r="D11" i="1450" l="1"/>
  <c r="D16" i="1450" s="1"/>
  <c r="K74" i="1458"/>
  <c r="K15" i="1458"/>
  <c r="F65" i="1427"/>
  <c r="F127" i="1427"/>
  <c r="E127" i="1427"/>
  <c r="F90" i="1427"/>
  <c r="E90" i="1427"/>
  <c r="D153" i="1427"/>
  <c r="K71" i="1458" l="1"/>
  <c r="N71" i="1458" s="1"/>
  <c r="K70" i="1458"/>
  <c r="N15" i="1458"/>
  <c r="N70" i="1458" s="1"/>
  <c r="N74" i="1458"/>
  <c r="E153" i="1427"/>
  <c r="F153" i="1427"/>
  <c r="N73" i="1458" l="1"/>
  <c r="K72" i="1458"/>
  <c r="K73" i="1458"/>
  <c r="N72" i="1458"/>
  <c r="O70" i="1458"/>
  <c r="C16" i="1359"/>
  <c r="C15" i="1359"/>
  <c r="C15" i="1358"/>
  <c r="C16" i="1358"/>
  <c r="K15" i="1357" l="1"/>
  <c r="K16" i="1357"/>
  <c r="E14" i="1357"/>
  <c r="C16" i="1357"/>
  <c r="E13" i="1452" s="1"/>
  <c r="L16" i="1357" l="1"/>
  <c r="C15" i="1357"/>
  <c r="E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E134" i="1452" s="1"/>
  <c r="C136" i="1357"/>
  <c r="E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C39" i="1357"/>
  <c r="E37" i="1452" s="1"/>
  <c r="C38" i="1357"/>
  <c r="E35" i="1452" s="1"/>
  <c r="C36" i="1357"/>
  <c r="E33" i="1452" s="1"/>
  <c r="E34" i="1452" l="1"/>
  <c r="K119" i="1357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E123" i="1452" s="1"/>
  <c r="C127" i="1357"/>
  <c r="E124" i="1452" s="1"/>
  <c r="C128" i="1357"/>
  <c r="E125" i="1452" s="1"/>
  <c r="E126" i="1452"/>
  <c r="C130" i="1357"/>
  <c r="E127" i="1452" s="1"/>
  <c r="C131" i="1357"/>
  <c r="E128" i="1452" s="1"/>
  <c r="C132" i="1357"/>
  <c r="E129" i="1452" s="1"/>
  <c r="C133" i="1357"/>
  <c r="E125" i="1357"/>
  <c r="C125" i="1357" s="1"/>
  <c r="E11" i="1362" s="1"/>
  <c r="E130" i="1452" l="1"/>
  <c r="P25" i="1455"/>
  <c r="Q25" i="1455" s="1"/>
  <c r="E122" i="1452"/>
  <c r="E104" i="1357"/>
  <c r="D104" i="1357"/>
  <c r="C103" i="1357"/>
  <c r="C117" i="1357"/>
  <c r="B26" i="1451" s="1"/>
  <c r="B27" i="1451" s="1"/>
  <c r="C118" i="1357"/>
  <c r="E115" i="1452" s="1"/>
  <c r="C119" i="1357"/>
  <c r="E116" i="1452" s="1"/>
  <c r="P21" i="1455" l="1"/>
  <c r="Q21" i="1455" s="1"/>
  <c r="E11" i="1361"/>
  <c r="P26" i="1455"/>
  <c r="Q26" i="1455" s="1"/>
  <c r="E114" i="1452"/>
  <c r="E9" i="1361"/>
  <c r="C102" i="1357"/>
  <c r="P20" i="1455" l="1"/>
  <c r="Q20" i="1455" s="1"/>
  <c r="E99" i="1452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E9" i="1452" l="1"/>
  <c r="C35" i="1357"/>
  <c r="E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E155" i="1452" s="1"/>
  <c r="C156" i="1357"/>
  <c r="E153" i="1452" s="1"/>
  <c r="C155" i="1357"/>
  <c r="E152" i="1452" s="1"/>
  <c r="C154" i="1357"/>
  <c r="E151" i="1452" s="1"/>
  <c r="C153" i="1357"/>
  <c r="E150" i="1452" s="1"/>
  <c r="C152" i="1357"/>
  <c r="E149" i="1452" s="1"/>
  <c r="E151" i="1357"/>
  <c r="D151" i="1357"/>
  <c r="C150" i="1357"/>
  <c r="E147" i="1452" s="1"/>
  <c r="C149" i="1357"/>
  <c r="E146" i="1452" s="1"/>
  <c r="C148" i="1357"/>
  <c r="E145" i="1452" s="1"/>
  <c r="C147" i="1357"/>
  <c r="E144" i="1452" s="1"/>
  <c r="E146" i="1357"/>
  <c r="D146" i="1357"/>
  <c r="C145" i="1357"/>
  <c r="E142" i="1452" s="1"/>
  <c r="C144" i="1357"/>
  <c r="E141" i="1452" s="1"/>
  <c r="C143" i="1357"/>
  <c r="E140" i="1452" s="1"/>
  <c r="C142" i="1357"/>
  <c r="E139" i="1452" s="1"/>
  <c r="C141" i="1357"/>
  <c r="E138" i="1452" s="1"/>
  <c r="C140" i="1357"/>
  <c r="E137" i="1452" s="1"/>
  <c r="E139" i="1357"/>
  <c r="D139" i="1357"/>
  <c r="C138" i="1357"/>
  <c r="E135" i="1452" s="1"/>
  <c r="E135" i="1357"/>
  <c r="D135" i="1357"/>
  <c r="C124" i="1357"/>
  <c r="C123" i="1357"/>
  <c r="E9" i="1362" s="1"/>
  <c r="C122" i="1357"/>
  <c r="C121" i="1357"/>
  <c r="E120" i="1357"/>
  <c r="D120" i="1357"/>
  <c r="C101" i="1357"/>
  <c r="E99" i="1357"/>
  <c r="D99" i="1357"/>
  <c r="C97" i="1357"/>
  <c r="C92" i="1357"/>
  <c r="E90" i="1452" s="1"/>
  <c r="C91" i="1357"/>
  <c r="E89" i="1452" s="1"/>
  <c r="C90" i="1357"/>
  <c r="E88" i="1452" s="1"/>
  <c r="C89" i="1357"/>
  <c r="E87" i="1452" s="1"/>
  <c r="C88" i="1357"/>
  <c r="E86" i="1452" s="1"/>
  <c r="C87" i="1357"/>
  <c r="E85" i="1452" s="1"/>
  <c r="E86" i="1357"/>
  <c r="D86" i="1357"/>
  <c r="C85" i="1357"/>
  <c r="E83" i="1452" s="1"/>
  <c r="C84" i="1357"/>
  <c r="E82" i="1452" s="1"/>
  <c r="C83" i="1357"/>
  <c r="E81" i="1452" s="1"/>
  <c r="E82" i="1357"/>
  <c r="D82" i="1357"/>
  <c r="C81" i="1357"/>
  <c r="E79" i="1452" s="1"/>
  <c r="C80" i="1357"/>
  <c r="E79" i="1357"/>
  <c r="D79" i="1357"/>
  <c r="C78" i="1357"/>
  <c r="E76" i="1452" s="1"/>
  <c r="C77" i="1357"/>
  <c r="E75" i="1452" s="1"/>
  <c r="C76" i="1357"/>
  <c r="E74" i="1452" s="1"/>
  <c r="C75" i="1357"/>
  <c r="E73" i="1452" s="1"/>
  <c r="E74" i="1357"/>
  <c r="D74" i="1357"/>
  <c r="C73" i="1357"/>
  <c r="E71" i="1452" s="1"/>
  <c r="C72" i="1357"/>
  <c r="E70" i="1452" s="1"/>
  <c r="C71" i="1357"/>
  <c r="E70" i="1357"/>
  <c r="D70" i="1357"/>
  <c r="C68" i="1357"/>
  <c r="E66" i="1452" s="1"/>
  <c r="C67" i="1357"/>
  <c r="E65" i="1452" s="1"/>
  <c r="C66" i="1357"/>
  <c r="E64" i="1452" s="1"/>
  <c r="C65" i="1357"/>
  <c r="E63" i="1452" s="1"/>
  <c r="E64" i="1357"/>
  <c r="D64" i="1357"/>
  <c r="C63" i="1357"/>
  <c r="E61" i="1452" s="1"/>
  <c r="C62" i="1357"/>
  <c r="E60" i="1452" s="1"/>
  <c r="C60" i="1357"/>
  <c r="E58" i="1452" s="1"/>
  <c r="E59" i="1357"/>
  <c r="C58" i="1357"/>
  <c r="E56" i="1452" s="1"/>
  <c r="C57" i="1357"/>
  <c r="E55" i="1452" s="1"/>
  <c r="C56" i="1357"/>
  <c r="E54" i="1452" s="1"/>
  <c r="C55" i="1357"/>
  <c r="E53" i="1452" s="1"/>
  <c r="C54" i="1357"/>
  <c r="E52" i="1452" s="1"/>
  <c r="E53" i="1357"/>
  <c r="D53" i="1357"/>
  <c r="C40" i="1357"/>
  <c r="E38" i="1452" s="1"/>
  <c r="C33" i="1357"/>
  <c r="C8" i="1362" s="1"/>
  <c r="C32" i="1357"/>
  <c r="E29" i="1452" s="1"/>
  <c r="C31" i="1357"/>
  <c r="E28" i="1452" s="1"/>
  <c r="C30" i="1357"/>
  <c r="E27" i="1452" s="1"/>
  <c r="C29" i="1357"/>
  <c r="E26" i="1452" s="1"/>
  <c r="C28" i="1357"/>
  <c r="E25" i="1452" s="1"/>
  <c r="E27" i="1357"/>
  <c r="D27" i="1357"/>
  <c r="C26" i="1357"/>
  <c r="E23" i="1452" s="1"/>
  <c r="C25" i="1357"/>
  <c r="E22" i="1452" s="1"/>
  <c r="C24" i="1357"/>
  <c r="E21" i="1452" s="1"/>
  <c r="C23" i="1357"/>
  <c r="E20" i="1452" s="1"/>
  <c r="C22" i="1357"/>
  <c r="E19" i="1452" s="1"/>
  <c r="C21" i="1357"/>
  <c r="E18" i="1452" s="1"/>
  <c r="E20" i="1357"/>
  <c r="D20" i="1357"/>
  <c r="E16" i="1452"/>
  <c r="C18" i="1357"/>
  <c r="E15" i="1452" s="1"/>
  <c r="C14" i="1357"/>
  <c r="E11" i="1452" s="1"/>
  <c r="E11" i="1357"/>
  <c r="D11" i="1357"/>
  <c r="E7" i="1362" l="1"/>
  <c r="E18" i="1362" s="1"/>
  <c r="E32" i="1362" s="1"/>
  <c r="K126" i="1357"/>
  <c r="L126" i="1357" s="1"/>
  <c r="C125" i="1359"/>
  <c r="K57" i="1357"/>
  <c r="L57" i="1357" s="1"/>
  <c r="K65" i="1357"/>
  <c r="L65" i="1357" s="1"/>
  <c r="E69" i="1452"/>
  <c r="C26" i="1362"/>
  <c r="C25" i="1362" s="1"/>
  <c r="C31" i="1362" s="1"/>
  <c r="E119" i="1452"/>
  <c r="E8" i="1362"/>
  <c r="E121" i="1452"/>
  <c r="E10" i="1362"/>
  <c r="K42" i="1357"/>
  <c r="K46" i="1357"/>
  <c r="N46" i="1357" s="1"/>
  <c r="K50" i="1357"/>
  <c r="N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K44" i="1357"/>
  <c r="N44" i="1357" s="1"/>
  <c r="K48" i="1357"/>
  <c r="N48" i="1357" s="1"/>
  <c r="K52" i="1357"/>
  <c r="N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E30" i="1452"/>
  <c r="E78" i="1452"/>
  <c r="C20" i="1361"/>
  <c r="C19" i="1361" s="1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K123" i="1357"/>
  <c r="L123" i="1357" s="1"/>
  <c r="K102" i="1357"/>
  <c r="K100" i="1357"/>
  <c r="P23" i="1455"/>
  <c r="Q23" i="1455" s="1"/>
  <c r="E118" i="1452"/>
  <c r="F48" i="1419"/>
  <c r="F49" i="1419" s="1"/>
  <c r="E120" i="1452"/>
  <c r="P24" i="1455"/>
  <c r="Q24" i="1455" s="1"/>
  <c r="F18" i="1420"/>
  <c r="F19" i="1420" s="1"/>
  <c r="P19" i="1455"/>
  <c r="Q19" i="1455" s="1"/>
  <c r="E98" i="1452"/>
  <c r="P18" i="1455"/>
  <c r="E97" i="1452"/>
  <c r="K43" i="1357"/>
  <c r="N43" i="1357" s="1"/>
  <c r="K68" i="1357"/>
  <c r="L68" i="1357" s="1"/>
  <c r="K122" i="1357"/>
  <c r="L122" i="1357" s="1"/>
  <c r="C27" i="1361"/>
  <c r="E28" i="1361"/>
  <c r="E29" i="1361" s="1"/>
  <c r="D14" i="1413" s="1"/>
  <c r="K45" i="1357"/>
  <c r="N45" i="1357" s="1"/>
  <c r="K49" i="1357"/>
  <c r="N49" i="1357" s="1"/>
  <c r="K51" i="1357"/>
  <c r="N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N47" i="1357" s="1"/>
  <c r="C8" i="1361"/>
  <c r="E7" i="1361"/>
  <c r="C12" i="1361"/>
  <c r="C25" i="1361"/>
  <c r="C24" i="1361" s="1"/>
  <c r="E6" i="1361"/>
  <c r="C86" i="1357"/>
  <c r="E84" i="1452" s="1"/>
  <c r="C139" i="1357"/>
  <c r="E136" i="1452" s="1"/>
  <c r="E93" i="1357"/>
  <c r="C70" i="1359"/>
  <c r="C86" i="1359"/>
  <c r="C160" i="1360"/>
  <c r="C27" i="1357"/>
  <c r="C7" i="1362" s="1"/>
  <c r="C74" i="1357"/>
  <c r="E72" i="1452" s="1"/>
  <c r="C120" i="1359"/>
  <c r="C151" i="1359"/>
  <c r="C64" i="1357"/>
  <c r="C10" i="1362" s="1"/>
  <c r="C151" i="1357"/>
  <c r="E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C135" i="1357"/>
  <c r="E132" i="1452" s="1"/>
  <c r="C20" i="1357"/>
  <c r="C7" i="1361" s="1"/>
  <c r="C82" i="1358"/>
  <c r="C120" i="1358"/>
  <c r="C151" i="1358"/>
  <c r="C93" i="1360"/>
  <c r="C146" i="1357"/>
  <c r="E143" i="1452" s="1"/>
  <c r="C59" i="1358"/>
  <c r="C82" i="1357"/>
  <c r="E80" i="1452" s="1"/>
  <c r="C20" i="1358"/>
  <c r="C53" i="1358"/>
  <c r="C74" i="1358"/>
  <c r="C139" i="1358"/>
  <c r="C146" i="1358"/>
  <c r="C59" i="1359"/>
  <c r="C139" i="1359"/>
  <c r="L14" i="1357"/>
  <c r="D134" i="1357"/>
  <c r="C79" i="1357"/>
  <c r="E77" i="1452" s="1"/>
  <c r="C53" i="1357"/>
  <c r="C9" i="1362" s="1"/>
  <c r="E69" i="1357"/>
  <c r="E134" i="1357"/>
  <c r="C120" i="1357"/>
  <c r="E117" i="1452" s="1"/>
  <c r="C135" i="1360"/>
  <c r="L18" i="1357"/>
  <c r="L25" i="1357"/>
  <c r="L32" i="1357"/>
  <c r="L33" i="1357"/>
  <c r="L103" i="1357"/>
  <c r="L117" i="1357"/>
  <c r="L133" i="1357"/>
  <c r="C34" i="1359"/>
  <c r="C34" i="1358"/>
  <c r="C34" i="1357"/>
  <c r="C79" i="1358"/>
  <c r="C70" i="1357"/>
  <c r="E68" i="1452" s="1"/>
  <c r="L26" i="1357"/>
  <c r="L28" i="1357"/>
  <c r="L29" i="1357"/>
  <c r="L30" i="1357"/>
  <c r="L31" i="1357"/>
  <c r="L118" i="1357"/>
  <c r="L119" i="1357"/>
  <c r="L124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E59" i="1452" s="1"/>
  <c r="D59" i="1357"/>
  <c r="L101" i="1357" l="1"/>
  <c r="N101" i="1357"/>
  <c r="L100" i="1357"/>
  <c r="N100" i="1357"/>
  <c r="L102" i="1357"/>
  <c r="N102" i="1357"/>
  <c r="K135" i="1357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E31" i="1452"/>
  <c r="P9" i="1455"/>
  <c r="Q9" i="1455" s="1"/>
  <c r="E24" i="1452"/>
  <c r="P12" i="1455"/>
  <c r="Q12" i="1455" s="1"/>
  <c r="E51" i="1452"/>
  <c r="P14" i="1455"/>
  <c r="Q14" i="1455" s="1"/>
  <c r="E62" i="1452"/>
  <c r="Q18" i="1455"/>
  <c r="P8" i="1455"/>
  <c r="E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C9" i="1361"/>
  <c r="C29" i="1361"/>
  <c r="D7" i="1413" s="1"/>
  <c r="C69" i="1359"/>
  <c r="C27" i="1358"/>
  <c r="C41" i="1358"/>
  <c r="K41" i="1357" s="1"/>
  <c r="C59" i="1357"/>
  <c r="C93" i="1357"/>
  <c r="C93" i="1359"/>
  <c r="L61" i="1357"/>
  <c r="C134" i="1359"/>
  <c r="E94" i="1357"/>
  <c r="C159" i="1358"/>
  <c r="C93" i="1358"/>
  <c r="C159" i="1359"/>
  <c r="C161" i="1360"/>
  <c r="C94" i="1360"/>
  <c r="C165" i="1360"/>
  <c r="C11" i="1358"/>
  <c r="D69" i="1357"/>
  <c r="K27" i="1357" l="1"/>
  <c r="L27" i="1357" s="1"/>
  <c r="C33" i="1362"/>
  <c r="E33" i="1362"/>
  <c r="C32" i="1362"/>
  <c r="C160" i="1359"/>
  <c r="K93" i="1357"/>
  <c r="L93" i="1357" s="1"/>
  <c r="P15" i="1455"/>
  <c r="Q15" i="1455" s="1"/>
  <c r="E91" i="1452"/>
  <c r="E57" i="1452"/>
  <c r="P13" i="1455"/>
  <c r="Q13" i="1455" s="1"/>
  <c r="Q8" i="1455"/>
  <c r="K159" i="1357"/>
  <c r="C32" i="1361"/>
  <c r="E32" i="1361"/>
  <c r="C163" i="1359"/>
  <c r="C11" i="1361"/>
  <c r="B7" i="1413"/>
  <c r="E7" i="1413" s="1"/>
  <c r="C94" i="1359"/>
  <c r="L59" i="1357"/>
  <c r="C164" i="1358"/>
  <c r="C164" i="1359"/>
  <c r="K11" i="1357"/>
  <c r="C99" i="1358"/>
  <c r="C69" i="1358"/>
  <c r="D94" i="1357"/>
  <c r="K99" i="1357" l="1"/>
  <c r="N99" i="1357" s="1"/>
  <c r="K69" i="1357"/>
  <c r="E35" i="1362"/>
  <c r="C35" i="1362"/>
  <c r="C94" i="1358"/>
  <c r="C160" i="1358"/>
  <c r="C134" i="1358"/>
  <c r="K134" i="1357" l="1"/>
  <c r="K94" i="1357"/>
  <c r="C163" i="1358"/>
  <c r="K160" i="1357" l="1"/>
  <c r="D159" i="1357" l="1"/>
  <c r="D160" i="1357" s="1"/>
  <c r="E159" i="1357"/>
  <c r="E160" i="1357" s="1"/>
  <c r="G159" i="1357"/>
  <c r="G160" i="1357" s="1"/>
  <c r="F159" i="1357"/>
  <c r="F160" i="1357" s="1"/>
  <c r="H159" i="1357"/>
  <c r="H160" i="1357" s="1"/>
  <c r="C157" i="1357"/>
  <c r="E154" i="1452" s="1"/>
  <c r="L157" i="1357" l="1"/>
  <c r="C159" i="1357"/>
  <c r="C164" i="1357" l="1"/>
  <c r="P27" i="1455"/>
  <c r="L159" i="1357"/>
  <c r="B14" i="1413"/>
  <c r="E14" i="1413" s="1"/>
  <c r="E156" i="1452"/>
  <c r="Q27" i="1455" l="1"/>
  <c r="C17" i="1357" l="1"/>
  <c r="L17" i="1357" s="1"/>
  <c r="E14" i="1452" l="1"/>
  <c r="C50" i="1357" l="1"/>
  <c r="E48" i="1452" s="1"/>
  <c r="C51" i="1357"/>
  <c r="E49" i="1452" s="1"/>
  <c r="C46" i="1357"/>
  <c r="E44" i="1452" s="1"/>
  <c r="C48" i="1357"/>
  <c r="E46" i="1452" s="1"/>
  <c r="C44" i="1357"/>
  <c r="E42" i="1452" s="1"/>
  <c r="C49" i="1357"/>
  <c r="E47" i="1452" s="1"/>
  <c r="C43" i="1357"/>
  <c r="E41" i="1452" s="1"/>
  <c r="C47" i="1357"/>
  <c r="E45" i="1452" s="1"/>
  <c r="C45" i="1357"/>
  <c r="E43" i="1452" s="1"/>
  <c r="C52" i="1357"/>
  <c r="E50" i="1452" s="1"/>
  <c r="C42" i="1357"/>
  <c r="L42" i="1357" s="1"/>
  <c r="L52" i="1357" l="1"/>
  <c r="L47" i="1357"/>
  <c r="L49" i="1357"/>
  <c r="L48" i="1357"/>
  <c r="L51" i="1357"/>
  <c r="E40" i="1452"/>
  <c r="C41" i="1357"/>
  <c r="L45" i="1357"/>
  <c r="L43" i="1357"/>
  <c r="L44" i="1357"/>
  <c r="L46" i="1357"/>
  <c r="L50" i="1357"/>
  <c r="P11" i="1455" l="1"/>
  <c r="C10" i="1361"/>
  <c r="L41" i="1357"/>
  <c r="E39" i="1452"/>
  <c r="Q11" i="1455" l="1"/>
  <c r="C13" i="1357" l="1"/>
  <c r="E10" i="1452" l="1"/>
  <c r="L13" i="1357"/>
  <c r="C11" i="1357"/>
  <c r="E8" i="1452" s="1"/>
  <c r="C94" i="1357"/>
  <c r="C69" i="1357"/>
  <c r="C6" i="1361" l="1"/>
  <c r="C18" i="1361" s="1"/>
  <c r="D6" i="1413" s="1"/>
  <c r="L11" i="1357"/>
  <c r="P7" i="1455"/>
  <c r="Q7" i="1455" s="1"/>
  <c r="P16" i="1455"/>
  <c r="Q16" i="1455" s="1"/>
  <c r="L69" i="1357"/>
  <c r="B6" i="1413"/>
  <c r="E67" i="1452"/>
  <c r="E92" i="1452"/>
  <c r="B8" i="1413"/>
  <c r="B20" i="1450"/>
  <c r="B21" i="1450" s="1"/>
  <c r="L94" i="1357"/>
  <c r="C30" i="1361" l="1"/>
  <c r="D8" i="1413" s="1"/>
  <c r="E8" i="1413" s="1"/>
  <c r="E6" i="1413"/>
  <c r="C115" i="1357"/>
  <c r="L115" i="1357" s="1"/>
  <c r="C111" i="1357"/>
  <c r="L111" i="1357" s="1"/>
  <c r="C109" i="1357"/>
  <c r="L109" i="1357" s="1"/>
  <c r="C107" i="1357"/>
  <c r="L107" i="1357" s="1"/>
  <c r="C114" i="1357"/>
  <c r="L114" i="1357" s="1"/>
  <c r="C112" i="1357"/>
  <c r="L112" i="1357" s="1"/>
  <c r="C110" i="1357"/>
  <c r="L110" i="1357" s="1"/>
  <c r="C108" i="1357"/>
  <c r="L108" i="1357" s="1"/>
  <c r="C106" i="1357"/>
  <c r="C116" i="1357"/>
  <c r="L116" i="1357" s="1"/>
  <c r="C113" i="1357"/>
  <c r="L113" i="1357" s="1"/>
  <c r="C105" i="1357"/>
  <c r="L105" i="1357" s="1"/>
  <c r="L106" i="1357" l="1"/>
  <c r="E57" i="1456"/>
  <c r="E110" i="1452"/>
  <c r="E103" i="1452"/>
  <c r="E107" i="1452"/>
  <c r="E111" i="1452"/>
  <c r="E106" i="1452"/>
  <c r="E112" i="1452"/>
  <c r="C99" i="1357"/>
  <c r="E102" i="1452"/>
  <c r="C104" i="1357"/>
  <c r="D41" i="1457"/>
  <c r="E105" i="1452"/>
  <c r="E109" i="1452"/>
  <c r="E104" i="1452"/>
  <c r="E108" i="1452"/>
  <c r="P22" i="1455" l="1"/>
  <c r="E10" i="1361"/>
  <c r="E18" i="1361" s="1"/>
  <c r="E101" i="1452"/>
  <c r="L104" i="1357"/>
  <c r="C134" i="1357"/>
  <c r="C160" i="1357"/>
  <c r="L99" i="1357"/>
  <c r="E96" i="1452"/>
  <c r="C163" i="1357" l="1"/>
  <c r="B13" i="1413"/>
  <c r="L134" i="1357"/>
  <c r="E131" i="1452"/>
  <c r="L160" i="1357"/>
  <c r="K20" i="1450"/>
  <c r="K21" i="1450" s="1"/>
  <c r="B15" i="1413"/>
  <c r="E157" i="1452"/>
  <c r="C31" i="1361"/>
  <c r="E30" i="1361"/>
  <c r="E31" i="1361"/>
  <c r="D13" i="1413"/>
  <c r="P28" i="1455"/>
  <c r="Q28" i="1455" s="1"/>
  <c r="Q22" i="1455"/>
  <c r="E33" i="1361" l="1"/>
  <c r="C33" i="1361"/>
  <c r="D15" i="1413"/>
  <c r="E15" i="1413" s="1"/>
  <c r="E13" i="1413"/>
</calcChain>
</file>

<file path=xl/sharedStrings.xml><?xml version="1.0" encoding="utf-8"?>
<sst xmlns="http://schemas.openxmlformats.org/spreadsheetml/2006/main" count="5900" uniqueCount="1070">
  <si>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</si>
  <si>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</si>
  <si>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</si>
  <si>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</si>
  <si>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</si>
  <si>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</si>
  <si>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</si>
  <si>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</si>
  <si>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</si>
  <si>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</si>
  <si>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</si>
  <si>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</si>
  <si>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</si>
  <si>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</si>
  <si>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</si>
  <si>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</si>
  <si>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</si>
  <si>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</si>
  <si>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</si>
  <si>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</si>
  <si>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</si>
  <si>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</si>
  <si>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</si>
  <si>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</si>
  <si>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</si>
  <si>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</si>
  <si>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</si>
  <si>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</si>
  <si>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</si>
  <si>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</si>
  <si>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</si>
  <si>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</si>
  <si>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</si>
  <si>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</si>
  <si>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</si>
  <si>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</si>
  <si>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</si>
  <si>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</si>
  <si>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</si>
  <si>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</si>
  <si>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</si>
  <si>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</si>
  <si>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</si>
  <si>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</si>
  <si>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</si>
  <si>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</si>
  <si>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</si>
  <si>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</si>
  <si>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</si>
  <si>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</si>
  <si>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</si>
  <si>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</si>
  <si>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</si>
  <si>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</si>
  <si>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</si>
  <si>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</si>
  <si>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</si>
  <si>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</si>
  <si>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</si>
  <si>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</si>
  <si>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</si>
  <si>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</si>
  <si>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</si>
  <si>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</si>
  <si>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</si>
  <si>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</si>
  <si>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</si>
  <si>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</si>
  <si>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</si>
  <si>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</si>
  <si>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</si>
  <si>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</si>
  <si>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</si>
  <si>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</si>
  <si>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</si>
  <si>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</si>
  <si>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</si>
  <si>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</si>
  <si>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</si>
  <si>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</si>
  <si>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</si>
  <si>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</si>
  <si>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</si>
  <si>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</si>
  <si>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</si>
  <si>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</si>
  <si>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</si>
  <si>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</si>
  <si>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</si>
  <si>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</si>
  <si>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</si>
  <si>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</si>
  <si>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</si>
  <si>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</si>
  <si>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</si>
  <si>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</si>
  <si>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</si>
  <si>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</si>
  <si>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</si>
  <si>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</si>
  <si>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</si>
  <si>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</si>
  <si>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</si>
  <si>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</si>
  <si>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</si>
  <si>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</si>
  <si>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</si>
  <si>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</si>
  <si>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</si>
  <si>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</si>
  <si>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</si>
  <si>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</si>
  <si>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</si>
  <si>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</si>
  <si>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</si>
  <si>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</si>
  <si>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</si>
  <si>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</si>
  <si>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</si>
  <si>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</si>
  <si>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</si>
  <si>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</si>
  <si>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</si>
  <si>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</si>
  <si>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</si>
  <si>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</si>
  <si>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</si>
  <si>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</si>
  <si>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</si>
  <si>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</si>
  <si>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</si>
  <si>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</si>
  <si>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</si>
  <si>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</si>
  <si>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</si>
  <si>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</si>
  <si>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</si>
  <si>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</si>
  <si>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</si>
  <si>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</si>
  <si>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</si>
  <si>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</si>
  <si>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</si>
  <si>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</si>
  <si>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</si>
  <si>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</si>
  <si>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</si>
  <si>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</si>
  <si>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</si>
  <si>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</si>
  <si>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</si>
  <si>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</si>
  <si>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</si>
  <si>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</si>
  <si>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</si>
  <si>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</si>
  <si>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</si>
  <si>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</si>
  <si>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</si>
  <si>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</si>
  <si>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</si>
  <si>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</si>
  <si>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</si>
  <si>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</si>
  <si>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</si>
  <si>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</si>
  <si>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</si>
  <si>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</si>
  <si>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</si>
  <si>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</si>
  <si>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</si>
  <si>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</si>
  <si>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</si>
  <si>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</si>
  <si>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</si>
  <si>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</si>
  <si>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</si>
  <si>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</si>
  <si>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</si>
  <si>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</si>
  <si>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</si>
  <si>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</si>
  <si>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</si>
  <si>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</si>
  <si>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</si>
  <si>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</si>
  <si>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</si>
  <si>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</si>
  <si>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</si>
  <si>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</si>
  <si>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</si>
  <si>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</si>
  <si>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</si>
  <si>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</si>
  <si>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</si>
  <si>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</si>
  <si>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</si>
  <si>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</si>
  <si>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</si>
  <si>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</si>
  <si>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</si>
  <si>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</si>
  <si>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</si>
  <si>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</si>
  <si>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</si>
  <si>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</si>
  <si>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</si>
  <si>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</si>
  <si>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</si>
  <si>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</si>
  <si>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</si>
  <si>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</si>
  <si>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</si>
  <si>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</si>
  <si>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</si>
  <si>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</si>
  <si>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</si>
  <si>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</si>
  <si>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</si>
  <si>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</si>
  <si>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</si>
  <si>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</si>
  <si>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</si>
  <si>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</si>
  <si>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</si>
  <si>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</si>
  <si>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</si>
  <si>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</si>
  <si>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</si>
  <si>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</si>
  <si>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</si>
  <si>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</si>
  <si>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</si>
  <si>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</si>
  <si>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</si>
  <si>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</si>
  <si>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</si>
  <si>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</si>
  <si>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</si>
  <si>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</si>
  <si>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</si>
  <si>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</si>
  <si>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</si>
  <si>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</si>
  <si>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</si>
  <si>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</si>
  <si>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</si>
  <si>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</si>
  <si>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</si>
  <si>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</si>
  <si>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</si>
  <si>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</si>
  <si>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</si>
  <si>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</si>
  <si>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</si>
  <si>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</si>
  <si>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</si>
  <si>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</si>
  <si>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</si>
  <si>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</si>
  <si>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</si>
  <si>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</si>
  <si>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</si>
  <si>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</si>
  <si>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</si>
  <si>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</si>
  <si>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</si>
  <si>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</si>
  <si>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</si>
  <si>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</si>
  <si>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</si>
  <si>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</si>
  <si>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</si>
  <si>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</si>
  <si>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</si>
  <si>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</si>
  <si>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</si>
  <si>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</si>
  <si>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</si>
  <si>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</si>
  <si>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</si>
  <si>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</si>
  <si>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</si>
  <si>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</si>
  <si>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</si>
  <si>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</si>
  <si>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</si>
  <si>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</si>
  <si>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</si>
  <si>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</si>
  <si>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</si>
  <si>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</si>
  <si>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</si>
  <si>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</si>
  <si>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</si>
  <si>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</si>
  <si>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</si>
  <si>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</si>
  <si>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</si>
  <si>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</si>
  <si>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</si>
  <si>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</si>
  <si>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</si>
  <si>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</si>
  <si>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</si>
  <si>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</si>
  <si>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</si>
  <si>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</si>
  <si>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</si>
  <si>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</si>
  <si>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</si>
  <si>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</si>
  <si>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</si>
  <si>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</si>
  <si>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</si>
  <si>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</si>
  <si>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</si>
  <si>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</si>
  <si>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</si>
  <si>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</si>
  <si>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</si>
  <si>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</si>
  <si>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</si>
  <si>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</si>
  <si>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</si>
  <si>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</si>
  <si>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</si>
  <si>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</si>
  <si>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</si>
  <si>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</si>
  <si>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</si>
  <si>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</si>
  <si>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</si>
  <si>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</si>
  <si>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</si>
  <si>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</si>
  <si>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</si>
  <si>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</si>
  <si>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</si>
  <si>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</si>
  <si>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</si>
  <si>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</si>
  <si>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</si>
  <si>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</si>
  <si>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</si>
  <si>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</si>
  <si>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</si>
  <si>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</si>
  <si>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</si>
  <si>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</si>
  <si>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</si>
  <si>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</si>
  <si>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</si>
  <si>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</si>
  <si>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</si>
  <si>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</si>
  <si>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</si>
  <si>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</si>
  <si>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</si>
  <si>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</si>
  <si>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</si>
  <si>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</si>
  <si>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</si>
  <si>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</si>
  <si>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</si>
  <si>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</si>
  <si>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</si>
  <si>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</si>
  <si>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</si>
  <si>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</si>
  <si>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</si>
  <si>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</si>
  <si>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</si>
  <si>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</si>
  <si>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</si>
  <si>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</si>
  <si>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</si>
  <si>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</si>
  <si>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</si>
  <si>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</si>
  <si>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</si>
  <si>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</si>
  <si>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</si>
  <si>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</si>
  <si>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</si>
  <si>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</si>
  <si>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</si>
  <si>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</si>
  <si>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</si>
  <si>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</si>
  <si>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</si>
  <si>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</si>
  <si>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</si>
  <si>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</si>
  <si>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</si>
  <si>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</si>
  <si>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</si>
  <si>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</si>
  <si>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</si>
  <si>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</si>
  <si>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</si>
  <si>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</si>
  <si>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</si>
  <si>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</si>
  <si>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</si>
  <si>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</si>
  <si>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</si>
  <si>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</si>
  <si>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</si>
  <si>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</si>
  <si>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</si>
  <si>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</si>
  <si>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</si>
  <si>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</si>
  <si>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</si>
  <si>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</si>
  <si>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</si>
  <si>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</si>
  <si>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</si>
  <si>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</si>
  <si>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</si>
  <si>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</si>
  <si>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</si>
  <si>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</si>
  <si>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</si>
  <si>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</si>
  <si>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</si>
  <si>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</si>
  <si>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</si>
  <si>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</si>
  <si>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</si>
  <si>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</si>
  <si>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</si>
  <si>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</si>
  <si>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</si>
  <si>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</si>
  <si>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</si>
  <si>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</si>
  <si>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</si>
  <si>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</si>
  <si>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</si>
  <si>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</si>
  <si>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</si>
  <si>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</si>
  <si>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</si>
  <si>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</si>
  <si>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</si>
  <si>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</si>
  <si>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</si>
  <si>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</si>
  <si>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</si>
  <si>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</si>
  <si>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</si>
  <si>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</si>
  <si>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</si>
  <si>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</si>
  <si>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</si>
  <si>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</si>
  <si>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</si>
  <si>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</si>
  <si>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</si>
  <si>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</si>
  <si>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</si>
  <si>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</si>
  <si>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</si>
  <si>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</si>
  <si>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</si>
  <si>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</si>
  <si>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</si>
  <si>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</si>
  <si>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</si>
  <si>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</si>
  <si>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</si>
  <si>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</si>
  <si>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</si>
  <si>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</si>
  <si>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</si>
  <si>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</si>
  <si>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</si>
  <si>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</si>
  <si>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</si>
  <si>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</si>
  <si>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</si>
  <si>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</si>
  <si>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</si>
  <si>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</si>
  <si>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</si>
  <si>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</si>
  <si>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</si>
  <si>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</si>
  <si>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</si>
  <si>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</si>
  <si>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</si>
  <si>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</si>
  <si>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</si>
  <si>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</si>
  <si>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Talajterhelési díj bevétele</t>
  </si>
  <si>
    <t>Varázsceruza óvoda tetőfelújítási munkálatainak finanszírozása céljára felvett hitel 2016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</si>
  <si>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</si>
  <si>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</si>
  <si>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</si>
  <si>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</si>
  <si>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</si>
  <si>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</si>
  <si>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</si>
  <si>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</si>
  <si>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</si>
  <si>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</si>
  <si>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</si>
  <si>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</si>
  <si>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</si>
  <si>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</si>
  <si>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</si>
  <si>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</si>
  <si>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</si>
  <si>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</si>
  <si>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</si>
  <si>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</si>
  <si>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</si>
  <si>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</si>
  <si>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</si>
  <si>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</si>
  <si>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</si>
  <si>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</si>
  <si>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</si>
  <si>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</si>
  <si>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</si>
  <si>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</si>
  <si>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</si>
  <si>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</si>
  <si>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</si>
  <si>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</si>
  <si>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</si>
  <si>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</si>
  <si>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</si>
  <si>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</si>
  <si>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</si>
  <si>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</si>
  <si>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</si>
  <si>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</si>
  <si>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</si>
  <si>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</si>
  <si>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</si>
  <si>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</si>
  <si>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</si>
  <si>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</si>
  <si>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</si>
  <si>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</si>
  <si>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</si>
  <si>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</si>
  <si>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</si>
  <si>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</si>
  <si>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</si>
  <si>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</si>
  <si>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</si>
  <si>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</si>
  <si>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</si>
  <si>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</si>
  <si>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</si>
  <si>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</si>
  <si>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</si>
  <si>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</si>
  <si>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</si>
  <si>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</si>
  <si>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</si>
  <si>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</si>
  <si>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</si>
  <si>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</si>
  <si>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</si>
  <si>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</si>
  <si>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</si>
  <si>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</si>
  <si>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</si>
  <si>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</si>
  <si>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</si>
  <si>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</si>
  <si>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</si>
  <si>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</si>
  <si>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</si>
  <si>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</si>
  <si>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</si>
  <si>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</si>
  <si>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</si>
  <si>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</si>
  <si>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</si>
  <si>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</si>
  <si>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</si>
  <si>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</si>
  <si>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</si>
  <si>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</si>
  <si>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</si>
  <si>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</si>
  <si>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</si>
  <si>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</si>
  <si>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</si>
  <si>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</si>
  <si>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</si>
  <si>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</si>
  <si>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</si>
  <si>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</si>
  <si>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</si>
  <si>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</si>
  <si>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</si>
  <si>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</si>
  <si>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</si>
  <si>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</si>
  <si>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</si>
  <si>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</si>
  <si>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</si>
  <si>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</si>
  <si>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</si>
  <si>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</si>
  <si>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</si>
  <si>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</si>
  <si>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</si>
  <si>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</si>
  <si>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</si>
  <si>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</si>
  <si>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</si>
  <si>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</si>
  <si>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</si>
  <si>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</si>
  <si>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</si>
  <si>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</si>
  <si>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</si>
  <si>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</si>
  <si>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</si>
  <si>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</si>
  <si>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</si>
  <si>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</si>
  <si>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</si>
  <si>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</si>
  <si>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</si>
  <si>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</si>
  <si>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</si>
  <si>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</si>
  <si>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Iparterület kialakítása Tiszavasváriban</t>
  </si>
  <si>
    <t>Önkormányzat összesen: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</si>
  <si>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</si>
  <si>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</si>
  <si>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</si>
  <si>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</si>
  <si>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</si>
  <si>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</si>
  <si>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</si>
  <si>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</si>
  <si>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</si>
  <si>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</si>
  <si>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</si>
  <si>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</si>
  <si>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</si>
  <si>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</si>
  <si>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</si>
  <si>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</si>
  <si>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</si>
  <si>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</si>
  <si>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</si>
  <si>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</si>
  <si>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</si>
  <si>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</si>
  <si>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</si>
  <si>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</si>
  <si>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</si>
  <si>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</si>
  <si>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</si>
  <si>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</si>
  <si>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</si>
  <si>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</si>
  <si>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</si>
  <si>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</si>
  <si>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</si>
  <si>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</si>
  <si>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</si>
  <si>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</si>
  <si>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</si>
  <si>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</si>
  <si>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</si>
  <si>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</si>
  <si>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</si>
  <si>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</si>
  <si>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</si>
  <si>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</si>
  <si>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</si>
  <si>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</si>
  <si>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Lakáseladás tervezett bevétele</t>
  </si>
  <si>
    <t>Működési célú finanszírozási kiadások
(hiteltörlesztés, értékpapír vásárlás, stb.)*</t>
  </si>
  <si>
    <t>TSE TAO hitel 2017.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</si>
  <si>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</si>
  <si>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</si>
  <si>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</si>
  <si>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</si>
  <si>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</si>
  <si>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</si>
  <si>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</si>
  <si>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</si>
  <si>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</si>
  <si>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</si>
  <si>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</si>
  <si>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</si>
  <si>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</si>
  <si>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</si>
  <si>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</si>
  <si>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</si>
  <si>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</si>
  <si>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</si>
  <si>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</si>
  <si>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</si>
  <si>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</si>
  <si>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</si>
  <si>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</si>
  <si>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</si>
  <si>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</si>
  <si>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</si>
  <si>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</si>
  <si>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7=(2-4-5-6)</t>
  </si>
  <si>
    <t>072111</t>
  </si>
  <si>
    <t>Háziorvosi alapellátás</t>
  </si>
  <si>
    <t>081030</t>
  </si>
  <si>
    <t>Sportlétesítmények, edzőtáborok működtetése és fejlesztése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</si>
  <si>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</si>
  <si>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</si>
  <si>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</si>
  <si>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</si>
  <si>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</si>
  <si>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</si>
  <si>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</si>
  <si>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</si>
  <si>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</si>
  <si>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</si>
  <si>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</si>
  <si>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</si>
  <si>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</si>
  <si>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</si>
  <si>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</si>
  <si>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</si>
  <si>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</si>
  <si>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</si>
  <si>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</si>
  <si>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</si>
  <si>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</si>
  <si>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</si>
  <si>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</si>
  <si>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</si>
  <si>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</si>
  <si>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</si>
  <si>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</si>
  <si>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</si>
  <si>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</si>
  <si>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</si>
  <si>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</si>
  <si>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</si>
  <si>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</si>
  <si>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</si>
  <si>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</si>
  <si>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</si>
  <si>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</si>
  <si>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</si>
  <si>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</si>
  <si>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</si>
  <si>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</si>
  <si>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</si>
  <si>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</si>
  <si>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</si>
  <si>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</si>
  <si>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</si>
  <si>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</si>
  <si>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</si>
  <si>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</si>
  <si>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</si>
  <si>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</si>
  <si>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</si>
  <si>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</si>
  <si>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</si>
  <si>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</si>
  <si>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</si>
  <si>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</si>
  <si>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</si>
  <si>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</si>
  <si>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</si>
  <si>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</si>
  <si>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</si>
  <si>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</si>
  <si>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</si>
  <si>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</si>
  <si>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</si>
  <si>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</si>
  <si>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</si>
  <si>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</si>
  <si>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</si>
  <si>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</si>
  <si>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</si>
  <si>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</si>
  <si>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</si>
  <si>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</si>
  <si>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</si>
  <si>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</si>
  <si>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</si>
  <si>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</si>
  <si>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</si>
  <si>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</si>
  <si>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</si>
  <si>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Óvodai és iskolai szociális segítő tevékenység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</si>
  <si>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</si>
  <si>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</si>
  <si>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</si>
  <si>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</si>
  <si>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</si>
  <si>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</si>
  <si>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</si>
  <si>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</si>
  <si>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</si>
  <si>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</si>
  <si>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</si>
  <si>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</si>
  <si>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</si>
  <si>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</si>
  <si>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</si>
  <si>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</si>
  <si>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</si>
  <si>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</si>
  <si>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</si>
  <si>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</si>
  <si>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</si>
  <si>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</si>
  <si>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</si>
  <si>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</si>
  <si>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</si>
  <si>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</si>
  <si>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</si>
  <si>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</si>
  <si>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</si>
  <si>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</si>
  <si>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</si>
  <si>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</si>
  <si>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</si>
  <si>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</si>
  <si>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</si>
  <si>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</si>
  <si>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</si>
  <si>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</si>
  <si>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</si>
  <si>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</si>
  <si>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</si>
  <si>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</si>
  <si>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</si>
  <si>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</si>
  <si>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</si>
  <si>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</si>
  <si>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</si>
  <si>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</si>
  <si>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</si>
  <si>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</si>
  <si>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</si>
  <si>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</si>
  <si>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</si>
  <si>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</si>
  <si>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</si>
  <si>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</si>
  <si>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</si>
  <si>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</si>
  <si>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</si>
  <si>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</si>
  <si>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</si>
  <si>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</si>
  <si>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</si>
  <si>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</si>
  <si>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</si>
  <si>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</si>
  <si>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</si>
  <si>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</si>
  <si>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</si>
  <si>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</si>
  <si>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</si>
  <si>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</si>
  <si>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</si>
  <si>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</si>
  <si>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</si>
  <si>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</si>
  <si>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</si>
  <si>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</si>
  <si>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</si>
  <si>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</si>
  <si>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</si>
  <si>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</si>
  <si>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</si>
  <si>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</si>
  <si>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A gyermekek, fiatalok és családok életminőségét javító programok</t>
  </si>
  <si>
    <t>Óvoda</t>
  </si>
  <si>
    <t>EKIK</t>
  </si>
  <si>
    <t>Bölcsőde</t>
  </si>
  <si>
    <t>Kornisné</t>
  </si>
  <si>
    <t>Tervdokumentációk készítettése, megalapozó tanulmányok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</si>
  <si>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</si>
  <si>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</si>
  <si>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</si>
  <si>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</si>
  <si>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>EU-s forrás és annak társfinanszírozása</t>
  </si>
  <si>
    <t>Fordított áfa</t>
  </si>
  <si>
    <t>A projektre jóváhagyott összes
 bevétel, kiadás</t>
  </si>
  <si>
    <t>F</t>
  </si>
  <si>
    <t>G</t>
  </si>
  <si>
    <t>H</t>
  </si>
  <si>
    <t>I</t>
  </si>
  <si>
    <t>J</t>
  </si>
  <si>
    <t>K=E+…+J</t>
  </si>
  <si>
    <t>D=B+C</t>
  </si>
  <si>
    <t>C=K-B</t>
  </si>
  <si>
    <t>Általános tartalék:</t>
  </si>
  <si>
    <t>Tiszavasvári SE TAO pályázat önerő</t>
  </si>
  <si>
    <t>2025. évi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</si>
  <si>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</si>
  <si>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</si>
  <si>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</si>
  <si>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</si>
  <si>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</si>
  <si>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</si>
  <si>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</si>
  <si>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</si>
  <si>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</si>
  <si>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</si>
  <si>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</si>
  <si>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</si>
  <si>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</si>
  <si>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</si>
  <si>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</si>
  <si>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</si>
  <si>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</si>
  <si>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</si>
  <si>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072312</t>
  </si>
  <si>
    <t>Fogorvosi ügyeleti ellátás</t>
  </si>
  <si>
    <t>Bölcsődei nevelés fejlesztése pályázat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</si>
  <si>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</si>
  <si>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</si>
  <si>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</si>
  <si>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</si>
  <si>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</si>
  <si>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052020</t>
  </si>
  <si>
    <t>Szennyvíz gyűjtése, tisztítása, elhelyezése</t>
  </si>
  <si>
    <t>Élhető településközpont kialakítása Tiszavasváriban</t>
  </si>
  <si>
    <t>Energetikai fejlesztések Tiszavasvári intézményeiben</t>
  </si>
  <si>
    <t>Pályázati tartalék</t>
  </si>
  <si>
    <t>Önkormányzati finanszírozás</t>
  </si>
  <si>
    <t>Ellenőrzés:</t>
  </si>
  <si>
    <t>2.3.3.</t>
  </si>
  <si>
    <t>Települési önkormányzatok kulturális feladatainak bérjellegű támogatása</t>
  </si>
  <si>
    <t>48.</t>
  </si>
  <si>
    <t>Tiszavasvári Köztestületi Tűzoltóság</t>
  </si>
  <si>
    <t>Tiszavasvári Városi Polgárőrség</t>
  </si>
  <si>
    <t xml:space="preserve">Tiszavasvári Sportegyesület </t>
  </si>
  <si>
    <t>Tiszavasvári Városi Fúvószenekar</t>
  </si>
  <si>
    <t>Tiszavasvári Olimpiai Baráti Kör Egyesület</t>
  </si>
  <si>
    <t>"Gimnazistákért" Alapítvány</t>
  </si>
  <si>
    <t>"Kicsi vagyok én..." Alapítvány a Bölcsődés Gyermekekért</t>
  </si>
  <si>
    <t>Alkaloida Lombik Horgász Egyesület</t>
  </si>
  <si>
    <t>Hankó László Zenei Alapítvány</t>
  </si>
  <si>
    <t>Kabay János Alapítvány</t>
  </si>
  <si>
    <t>Kör-karéj Bűdszentmihályi Hagyományőrző Műhely</t>
  </si>
  <si>
    <t>Lukács Ferenc Önkéntes Tűzoltó Egyesület</t>
  </si>
  <si>
    <t>Magyar Madártani és Természetvédelmi Egyesület</t>
  </si>
  <si>
    <t>Magyar Vöröskereszt Tiszavasvári Területi Szervezete</t>
  </si>
  <si>
    <t>Magyar-Roma-Maxima Tiszavasvári Egyesület</t>
  </si>
  <si>
    <t>Őszikék idősek és egyedülállók egyesülete:</t>
  </si>
  <si>
    <t>Tiszavasvári Mazsorett Egyesület</t>
  </si>
  <si>
    <t>Tiszavasvári Nagycsaládosok Egyesülete:</t>
  </si>
  <si>
    <t>Tiszavasvári Sport Klub</t>
  </si>
  <si>
    <t xml:space="preserve">Vasvári Pál Társaság: </t>
  </si>
  <si>
    <t>2.1.9.</t>
  </si>
  <si>
    <t>A 10 000 lakos feletti önkormányzatok energiaáremelkedés miatti támogatása</t>
  </si>
  <si>
    <t>2022-2025</t>
  </si>
  <si>
    <t>Közterület felügyelet</t>
  </si>
  <si>
    <t>Informatikai eszközök, szoftverek beszerzése</t>
  </si>
  <si>
    <t>2022-2024</t>
  </si>
  <si>
    <t>NEMLEGES</t>
  </si>
  <si>
    <t>2026. évi</t>
  </si>
  <si>
    <t>Egyéb tárgyi eszközök beszerzése ESZA+ projekt keretében</t>
  </si>
  <si>
    <t>Egyéb tárgyi eszközök beszerzése (Találkozások háza)</t>
  </si>
  <si>
    <t>Iparterület továbbfejlesztése Tiszavasváriban</t>
  </si>
  <si>
    <t>2023-2025</t>
  </si>
  <si>
    <t>Belterületi utak fejlesztése Tiszavasváriban</t>
  </si>
  <si>
    <r>
      <t>EU-s projekt neve, azonosítója:</t>
    </r>
    <r>
      <rPr>
        <sz val="11"/>
        <rFont val="Times New Roman"/>
        <family val="1"/>
        <charset val="238"/>
      </rPr>
      <t xml:space="preserve"> Iparterület továbbfejlesztése Tiszavasváriban, TOP_PLUSZ-1.1.1-21-SB1-2022-00010</t>
    </r>
  </si>
  <si>
    <t>Egyéb forrás (levonható ÁFA)</t>
  </si>
  <si>
    <r>
      <t xml:space="preserve">EU-s projekt neve, azonosítója: </t>
    </r>
    <r>
      <rPr>
        <sz val="11"/>
        <rFont val="Times New Roman CE"/>
        <charset val="238"/>
      </rPr>
      <t>Szociális célú városrehabilitációt segítő programok Tiszavasváriban  - TOP_PLUSZ-3.1.2-21-SB1-2022-00012 (megvalósító: Kornisné Központ)</t>
    </r>
  </si>
  <si>
    <r>
      <t xml:space="preserve">EU-s projekt neve, azonosítója: </t>
    </r>
    <r>
      <rPr>
        <sz val="11"/>
        <rFont val="Times New Roman CE"/>
        <charset val="238"/>
      </rPr>
      <t>Szociális célú városrehabilitációt segítő programok Tiszavasváriban  - TOP_PLUSZ-3.1.2-21-SB1-2022-00012 (megvalósító: Önkormányzat)</t>
    </r>
  </si>
  <si>
    <r>
      <t>EU-s projekt neve, azonosítója:</t>
    </r>
    <r>
      <rPr>
        <b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Belterületi utak fejlesztése Tiszavasváriban - TOP_PLUSZ-1.2.3-21-SB1-2022-00040</t>
    </r>
  </si>
  <si>
    <t>A települési önkormányzatok kulturális feladatainak támogatása 1.5.=(42.+43.+44.+45.+46.)</t>
  </si>
  <si>
    <t>49.</t>
  </si>
  <si>
    <t>Összesen: 49.=(9.+16.+37.+41.+47.+48.)</t>
  </si>
  <si>
    <t>2.3.2.</t>
  </si>
  <si>
    <t>Települési önkormányzatok kulturális feladatainak kiegészítő támogatása</t>
  </si>
  <si>
    <t>Tiva-Szolg fizikoterápiás szolgáltatás</t>
  </si>
  <si>
    <t>Éves tervezett GINOP létszám (fő)</t>
  </si>
  <si>
    <t>045110</t>
  </si>
  <si>
    <t>Közúti közlekedés igazgatása és támogatása</t>
  </si>
  <si>
    <t>Tiva-Szolg szociális otthon éllelmezés</t>
  </si>
  <si>
    <t>056010</t>
  </si>
  <si>
    <t>Komplex környezetvédelmi programok támogatása</t>
  </si>
  <si>
    <t>Éves tervezett pályázati létszám előirányzat (fő)</t>
  </si>
  <si>
    <t>- Önkormányzat nyári diákmunka július és augusztus hónapban összesen</t>
  </si>
  <si>
    <t>Mindösszesen</t>
  </si>
  <si>
    <t>Víziközmű vagyonnal kapcsolatos záró pénzkészletek és éves tervezett változás</t>
  </si>
  <si>
    <t>Önkormányzati beszerzések</t>
  </si>
  <si>
    <t>074031</t>
  </si>
  <si>
    <t xml:space="preserve">Család és nővédelmi egészségügyi gondozás </t>
  </si>
  <si>
    <t>Bérlakás felújítás (Kossuth u. 3. tetőszigetelés felújítása)</t>
  </si>
  <si>
    <t>2023-2024</t>
  </si>
  <si>
    <t>Tiszavasvári Komplex felzárkózási program szakmai rész 2023</t>
  </si>
  <si>
    <t>ellenőrzés:</t>
  </si>
  <si>
    <t>Összesen: 37.=1.+…+36.</t>
  </si>
  <si>
    <t>….</t>
  </si>
  <si>
    <t>2024.</t>
  </si>
  <si>
    <t>2024. évi előirányzat</t>
  </si>
  <si>
    <t>2024.évi előirányzat</t>
  </si>
  <si>
    <t>2024. évi előirányzat BEVÉTELEK</t>
  </si>
  <si>
    <t>2024. évi előirányzat KIADÁSOK</t>
  </si>
  <si>
    <t>Tiszavasvári Város Önkormányzata 2024. évi adósságot keletkeztető fejlesztési céljai</t>
  </si>
  <si>
    <t>2024. évi fordított áfa előirányzata</t>
  </si>
  <si>
    <t xml:space="preserve">
2024. év utáni szükséglet
</t>
  </si>
  <si>
    <t>2019-2024</t>
  </si>
  <si>
    <t>Mezőőrség 2024. évi eszközbeszerzés</t>
  </si>
  <si>
    <t>2024-2025</t>
  </si>
  <si>
    <t>2021-2024</t>
  </si>
  <si>
    <t>2024. év utáni szükséglet
(7=2-4-5-6)</t>
  </si>
  <si>
    <t xml:space="preserve">EU-s projekt neve, azonosítója: Élhető településközpont kialakítása Tiszavasváriban - TOP_PLUSZ-1.2.1-21-SB1-2024-00006 </t>
  </si>
  <si>
    <t xml:space="preserve">EU-s projekt neve, azonosítója: Energetikai fejlesztések Tiszavasvári intézményeiben  - TOP_PLUSZ-2.1.1-21-SB1-2024-00035 </t>
  </si>
  <si>
    <t xml:space="preserve">2024. évi költségvetése </t>
  </si>
  <si>
    <t xml:space="preserve">2024. évi költségvetésében rendelkezésre álló tartalékok </t>
  </si>
  <si>
    <t xml:space="preserve">"
Tiszavasvári Város Önkormányzata
2024. ÉVI KÖLTSÉGVETÉSÉNEK ÖSSZEVONT MÉRLEGE     
</t>
  </si>
  <si>
    <t>2024. előtti kifizetés</t>
  </si>
  <si>
    <t>Folyószámla-hitel 2024. (100.000.000 Ft)</t>
  </si>
  <si>
    <t>Előirányzat-felhasználási terv 2024. évre</t>
  </si>
  <si>
    <t>2024. évi tervezett támogatás összesen</t>
  </si>
  <si>
    <t>K I M U T A T Á S
a 2024. évben céljelleggel juttatandó támogatásokról</t>
  </si>
  <si>
    <t>Az önkormányzat 2024. évi költségvetésének</t>
  </si>
  <si>
    <t>2024. év bevételei</t>
  </si>
  <si>
    <t>2024. év kiadásai</t>
  </si>
  <si>
    <t>Tiszavasvári Város Önkormányzata
2024. ÉVI KÖLTSÉGVETÉSI ÉVET KÖVETŐ 3 ÉV TERVEZETT BEVÉTELEI, KIADÁSAI</t>
  </si>
  <si>
    <t>2023.12.31. -i hitelállomány</t>
  </si>
  <si>
    <t>Felhasználás
2023. XII.31-ig</t>
  </si>
  <si>
    <t>2022. évi tény</t>
  </si>
  <si>
    <t>2023. évi várható adat</t>
  </si>
  <si>
    <t>2026 után</t>
  </si>
  <si>
    <t>2023. évi támogatás összesen</t>
  </si>
  <si>
    <t>Megvalósíthatósági tanulmány - termálvíz</t>
  </si>
  <si>
    <t>2024</t>
  </si>
  <si>
    <t>Busz beszerzés</t>
  </si>
  <si>
    <t>Kabay 23 hőszigetelés és tetőszigetelés</t>
  </si>
  <si>
    <t>Gyalogátkelőhely tervezés (2 db)</t>
  </si>
  <si>
    <t>Kamerarendszer felújítása</t>
  </si>
  <si>
    <t>Háziorvosi feladatok ellátásához és mentőponthoz szükséges eszközbeszerzés</t>
  </si>
  <si>
    <t>Bérlakás felújítás (Vasvári P. u. 6.; Vasvári P. u. 93.; Károly R. u.)</t>
  </si>
  <si>
    <t xml:space="preserve">Könyvtári könyvek beszerzése (Könyvtár 10 % kötelező) </t>
  </si>
  <si>
    <t>2027. évi</t>
  </si>
  <si>
    <t>Környezetvédelmi alap</t>
  </si>
  <si>
    <t>Pályázati önerő:  könyvtári érdekeltségnövelő: 450 eFt</t>
  </si>
  <si>
    <t>Egészségügyi feladatellátás</t>
  </si>
  <si>
    <t>Civilek és vállalkozói felajánlások</t>
  </si>
  <si>
    <t>Gyepmesteri telep üzemeltetés</t>
  </si>
  <si>
    <t>1.3.2.2.1.</t>
  </si>
  <si>
    <t>1.3.2.2.2.</t>
  </si>
  <si>
    <t>Esélyteremtési pótlék</t>
  </si>
  <si>
    <t>Képviselői felajánlások</t>
  </si>
  <si>
    <t>Civil alap</t>
  </si>
  <si>
    <t>072311</t>
  </si>
  <si>
    <t>Fogorvosi alapellátás</t>
  </si>
  <si>
    <r>
      <t>EU-s projekt neve, azonosítója:</t>
    </r>
    <r>
      <rPr>
        <b/>
        <sz val="11"/>
        <rFont val="Times New Roman"/>
        <family val="1"/>
        <charset val="238"/>
      </rPr>
      <t xml:space="preserve"> Szabadidő hasznos eltöltésére alkalmas közösségi terek kialakítása, fejlesztése, VP6-19.2.1.-87-4-17</t>
    </r>
  </si>
  <si>
    <t>Szabadidő hasznos eltöltésére alkalmas közösségi terek kialakítás - kutyafuttató</t>
  </si>
  <si>
    <r>
      <t xml:space="preserve">EU-s projekt neve, azonosítója: </t>
    </r>
    <r>
      <rPr>
        <sz val="11"/>
        <rFont val="Times New Roman CE"/>
        <charset val="238"/>
      </rPr>
      <t>Bölcsődei nevelés fejlesztése - RRF-1.1.2-2023-00101</t>
    </r>
  </si>
  <si>
    <t>A 2023 és 2024. évi általános működés és ágazati feladatok támogatásának alakulása jogcímenként</t>
  </si>
  <si>
    <t>Gyepmesteri telep - eszközbeszerzés, hálózati csatlakozás</t>
  </si>
  <si>
    <t>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</si>
</sst>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8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  <font>
      <b/>
      <sz val="11"/>
      <name val="Times New Roman"/>
      <family val="1"/>
      <charset val="238"/>
    </font>
    <font>
      <i/>
      <sz val="9"/>
      <color rgb="FFFF0000"/>
      <name val="Times New Roman CE"/>
      <charset val="238"/>
    </font>
    <font>
      <b/>
      <sz val="12"/>
      <color rgb="FFFF0000"/>
      <name val="Cambria"/>
      <family val="1"/>
      <charset val="238"/>
      <scheme val="major"/>
    </font>
    <font>
      <i/>
      <sz val="10"/>
      <name val="Times New Roman CE"/>
      <charset val="238"/>
    </font>
    <font>
      <b/>
      <sz val="10"/>
      <name val="Calibri"/>
      <family val="2"/>
      <charset val="238"/>
      <scheme val="minor"/>
    </font>
    <font>
      <sz val="12"/>
      <color rgb="FFFF0000"/>
      <name val="Times New Roman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09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38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27" xfId="0" applyNumberFormat="1" applyFont="1" applyBorder="1" applyAlignment="1">
      <alignment horizontal="right" vertical="center" wrapText="1"/>
    </xf>
    <xf numFmtId="3" fontId="29" fillId="0" borderId="20" xfId="0" applyNumberFormat="1" applyFont="1" applyBorder="1" applyAlignment="1">
      <alignment horizontal="right" vertical="center" wrapText="1"/>
    </xf>
    <xf numFmtId="3" fontId="29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right" vertical="center" wrapText="1"/>
    </xf>
    <xf numFmtId="3" fontId="29" fillId="0" borderId="2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3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5" fillId="0" borderId="44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0" fontId="79" fillId="0" borderId="0" xfId="25" applyFont="1"/>
    <xf numFmtId="0" fontId="87" fillId="0" borderId="0" xfId="25" applyFont="1"/>
    <xf numFmtId="0" fontId="88" fillId="0" borderId="0" xfId="25" applyFont="1"/>
    <xf numFmtId="0" fontId="89" fillId="0" borderId="0" xfId="25" applyFont="1" applyAlignment="1">
      <alignment horizontal="centerContinuous"/>
    </xf>
    <xf numFmtId="0" fontId="90" fillId="0" borderId="0" xfId="22" applyFont="1" applyAlignment="1">
      <alignment horizontal="centerContinuous"/>
    </xf>
    <xf numFmtId="0" fontId="90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3" fillId="0" borderId="0" xfId="25" applyNumberFormat="1" applyFont="1"/>
    <xf numFmtId="3" fontId="94" fillId="0" borderId="0" xfId="25" applyNumberFormat="1" applyFont="1"/>
    <xf numFmtId="3" fontId="88" fillId="0" borderId="0" xfId="25" applyNumberFormat="1" applyFont="1"/>
    <xf numFmtId="0" fontId="95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8" fillId="0" borderId="0" xfId="25" applyFont="1" applyAlignment="1">
      <alignment vertical="center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99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1" fillId="0" borderId="0" xfId="0" applyFont="1"/>
    <xf numFmtId="0" fontId="100" fillId="0" borderId="0" xfId="0" applyFont="1"/>
    <xf numFmtId="0" fontId="102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3" fillId="0" borderId="0" xfId="0" applyFont="1"/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4" fillId="0" borderId="0" xfId="21" applyFont="1"/>
    <xf numFmtId="16" fontId="84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81" fillId="0" borderId="14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171" fontId="27" fillId="0" borderId="27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99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106" fillId="0" borderId="0" xfId="21" applyFont="1"/>
    <xf numFmtId="0" fontId="23" fillId="0" borderId="75" xfId="21" applyFont="1" applyBorder="1" applyAlignment="1">
      <alignment horizontal="center" vertical="center"/>
    </xf>
    <xf numFmtId="0" fontId="108" fillId="0" borderId="2" xfId="48" applyFont="1" applyBorder="1" applyAlignment="1" applyProtection="1">
      <alignment vertical="center" wrapText="1"/>
      <protection locked="0"/>
    </xf>
    <xf numFmtId="167" fontId="108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2" fillId="0" borderId="14" xfId="18" applyFont="1" applyBorder="1" applyAlignment="1">
      <alignment horizontal="left" vertical="center" wrapText="1"/>
    </xf>
    <xf numFmtId="0" fontId="112" fillId="0" borderId="35" xfId="55" applyFont="1" applyBorder="1" applyAlignment="1">
      <alignment horizontal="left" vertical="center" wrapText="1"/>
    </xf>
    <xf numFmtId="0" fontId="111" fillId="0" borderId="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0" fillId="0" borderId="14" xfId="18" applyFont="1" applyBorder="1" applyAlignment="1">
      <alignment horizontal="left" vertical="center" wrapText="1"/>
    </xf>
    <xf numFmtId="170" fontId="110" fillId="0" borderId="19" xfId="53" applyNumberFormat="1" applyFont="1" applyFill="1" applyBorder="1" applyAlignment="1">
      <alignment horizontal="right" vertical="center"/>
    </xf>
    <xf numFmtId="0" fontId="111" fillId="0" borderId="3" xfId="18" applyFont="1" applyBorder="1" applyAlignment="1">
      <alignment horizontal="left" vertical="center" wrapText="1"/>
    </xf>
    <xf numFmtId="170" fontId="111" fillId="0" borderId="20" xfId="53" applyNumberFormat="1" applyFont="1" applyFill="1" applyBorder="1" applyAlignment="1">
      <alignment horizontal="right" vertical="center"/>
    </xf>
    <xf numFmtId="0" fontId="111" fillId="0" borderId="2" xfId="54" applyFont="1" applyBorder="1" applyAlignment="1">
      <alignment vertical="center"/>
    </xf>
    <xf numFmtId="49" fontId="111" fillId="0" borderId="71" xfId="18" applyNumberFormat="1" applyFont="1" applyBorder="1" applyAlignment="1">
      <alignment vertical="center"/>
    </xf>
    <xf numFmtId="49" fontId="111" fillId="0" borderId="72" xfId="18" applyNumberFormat="1" applyFont="1" applyBorder="1" applyAlignment="1">
      <alignment vertical="center"/>
    </xf>
    <xf numFmtId="49" fontId="110" fillId="0" borderId="35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1" fillId="0" borderId="24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 wrapText="1"/>
    </xf>
    <xf numFmtId="0" fontId="111" fillId="0" borderId="25" xfId="54" applyFont="1" applyBorder="1" applyAlignment="1">
      <alignment vertical="center"/>
    </xf>
    <xf numFmtId="0" fontId="111" fillId="0" borderId="1" xfId="55" applyFont="1" applyBorder="1" applyAlignment="1">
      <alignment vertical="center"/>
    </xf>
    <xf numFmtId="0" fontId="112" fillId="0" borderId="14" xfId="55" applyFont="1" applyBorder="1" applyAlignment="1">
      <alignment horizontal="left" vertical="center" wrapText="1"/>
    </xf>
    <xf numFmtId="0" fontId="111" fillId="0" borderId="4" xfId="55" applyFont="1" applyBorder="1" applyAlignment="1">
      <alignment vertical="center"/>
    </xf>
    <xf numFmtId="0" fontId="111" fillId="0" borderId="2" xfId="55" applyFont="1" applyBorder="1" applyAlignment="1">
      <alignment vertical="center"/>
    </xf>
    <xf numFmtId="0" fontId="113" fillId="0" borderId="0" xfId="0" applyFont="1"/>
    <xf numFmtId="14" fontId="50" fillId="0" borderId="0" xfId="18" quotePrefix="1" applyNumberFormat="1"/>
    <xf numFmtId="0" fontId="50" fillId="0" borderId="0" xfId="18" quotePrefix="1"/>
    <xf numFmtId="0" fontId="113" fillId="10" borderId="0" xfId="0" applyFont="1" applyFill="1" applyAlignment="1">
      <alignment horizontal="left" vertical="top" wrapText="1"/>
    </xf>
    <xf numFmtId="0" fontId="111" fillId="0" borderId="72" xfId="55" applyFont="1" applyBorder="1" applyAlignment="1">
      <alignment vertical="center"/>
    </xf>
    <xf numFmtId="0" fontId="111" fillId="10" borderId="78" xfId="0" applyFont="1" applyFill="1" applyBorder="1" applyAlignment="1">
      <alignment vertical="center" wrapText="1"/>
    </xf>
    <xf numFmtId="0" fontId="111" fillId="10" borderId="79" xfId="0" applyFont="1" applyFill="1" applyBorder="1" applyAlignment="1">
      <alignment vertical="center" wrapText="1"/>
    </xf>
    <xf numFmtId="0" fontId="112" fillId="0" borderId="14" xfId="0" applyFont="1" applyBorder="1" applyAlignment="1">
      <alignment vertical="center"/>
    </xf>
    <xf numFmtId="0" fontId="111" fillId="0" borderId="4" xfId="0" applyFont="1" applyBorder="1" applyAlignment="1">
      <alignment vertical="center"/>
    </xf>
    <xf numFmtId="0" fontId="111" fillId="0" borderId="25" xfId="0" applyFont="1" applyBorder="1" applyAlignment="1">
      <alignment vertical="center"/>
    </xf>
    <xf numFmtId="0" fontId="112" fillId="0" borderId="14" xfId="0" applyFont="1" applyBorder="1" applyAlignment="1">
      <alignment vertical="center" wrapText="1"/>
    </xf>
    <xf numFmtId="0" fontId="110" fillId="10" borderId="14" xfId="0" applyFont="1" applyFill="1" applyBorder="1" applyAlignment="1">
      <alignment vertical="center" wrapText="1"/>
    </xf>
    <xf numFmtId="0" fontId="111" fillId="0" borderId="0" xfId="0" applyFont="1" applyAlignment="1">
      <alignment vertical="center"/>
    </xf>
    <xf numFmtId="0" fontId="111" fillId="10" borderId="4" xfId="0" applyFont="1" applyFill="1" applyBorder="1" applyAlignment="1">
      <alignment vertical="center" wrapText="1"/>
    </xf>
    <xf numFmtId="0" fontId="110" fillId="10" borderId="80" xfId="0" applyFont="1" applyFill="1" applyBorder="1" applyAlignment="1">
      <alignment horizontal="left" vertical="center" wrapText="1"/>
    </xf>
    <xf numFmtId="170" fontId="111" fillId="0" borderId="18" xfId="53" applyNumberFormat="1" applyFont="1" applyFill="1" applyBorder="1" applyAlignment="1">
      <alignment horizontal="right" vertical="center"/>
    </xf>
    <xf numFmtId="170" fontId="111" fillId="0" borderId="26" xfId="53" applyNumberFormat="1" applyFont="1" applyFill="1" applyBorder="1" applyAlignment="1">
      <alignment horizontal="right" vertical="center"/>
    </xf>
    <xf numFmtId="170" fontId="112" fillId="0" borderId="19" xfId="53" applyNumberFormat="1" applyFont="1" applyFill="1" applyBorder="1" applyAlignment="1">
      <alignment horizontal="right" vertical="center" wrapText="1"/>
    </xf>
    <xf numFmtId="170" fontId="110" fillId="0" borderId="19" xfId="18" applyNumberFormat="1" applyFont="1" applyBorder="1" applyAlignment="1">
      <alignment horizontal="right" vertical="center"/>
    </xf>
    <xf numFmtId="170" fontId="105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9" xfId="21" applyNumberFormat="1" applyFont="1" applyBorder="1" applyAlignment="1">
      <alignment horizontal="center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27" xfId="21" applyNumberFormat="1" applyFont="1" applyBorder="1" applyAlignment="1">
      <alignment horizontal="right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44" xfId="21" applyNumberFormat="1" applyFont="1" applyBorder="1" applyAlignment="1">
      <alignment horizontal="right" vertical="center" wrapTex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0" fontId="114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1" fillId="10" borderId="2" xfId="0" applyFont="1" applyFill="1" applyBorder="1" applyAlignment="1">
      <alignment horizontal="left" vertical="center" wrapText="1"/>
    </xf>
    <xf numFmtId="170" fontId="111" fillId="0" borderId="18" xfId="18" applyNumberFormat="1" applyFont="1" applyBorder="1" applyAlignment="1">
      <alignment horizontal="right" vertical="center"/>
    </xf>
    <xf numFmtId="0" fontId="111" fillId="10" borderId="25" xfId="0" applyFont="1" applyFill="1" applyBorder="1" applyAlignment="1">
      <alignment vertical="center" wrapText="1"/>
    </xf>
    <xf numFmtId="0" fontId="111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1" fillId="0" borderId="17" xfId="18" applyNumberFormat="1" applyFont="1" applyBorder="1" applyAlignment="1">
      <alignment horizontal="right" vertical="center"/>
    </xf>
    <xf numFmtId="170" fontId="111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2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7" fillId="0" borderId="5" xfId="19" applyNumberFormat="1" applyFont="1" applyBorder="1"/>
    <xf numFmtId="170" fontId="107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0" fillId="0" borderId="16" xfId="18" applyFont="1" applyBorder="1" applyAlignment="1">
      <alignment horizontal="center" vertical="center"/>
    </xf>
    <xf numFmtId="170" fontId="110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3" fontId="36" fillId="8" borderId="2" xfId="26" applyNumberFormat="1" applyFont="1" applyFill="1" applyBorder="1" applyAlignment="1">
      <alignment horizontal="right"/>
    </xf>
    <xf numFmtId="166" fontId="108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08" fillId="0" borderId="23" xfId="21" applyNumberFormat="1" applyFont="1" applyBorder="1" applyAlignment="1" applyProtection="1">
      <alignment horizontal="right" vertical="center" wrapText="1" inden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81" fillId="0" borderId="19" xfId="0" applyNumberFormat="1" applyFont="1" applyBorder="1" applyAlignment="1">
      <alignment vertical="center" wrapText="1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167" fontId="31" fillId="0" borderId="52" xfId="26" applyNumberFormat="1" applyFont="1" applyBorder="1"/>
    <xf numFmtId="0" fontId="20" fillId="0" borderId="11" xfId="20" quotePrefix="1" applyFont="1" applyBorder="1"/>
    <xf numFmtId="0" fontId="20" fillId="0" borderId="8" xfId="20" quotePrefix="1" applyFont="1" applyBorder="1"/>
    <xf numFmtId="0" fontId="20" fillId="0" borderId="8" xfId="20" applyFont="1" applyBorder="1"/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0" fontId="119" fillId="0" borderId="0" xfId="0" applyFont="1" applyAlignment="1">
      <alignment vertical="center" wrapText="1"/>
    </xf>
    <xf numFmtId="170" fontId="43" fillId="0" borderId="15" xfId="19" applyNumberFormat="1" applyFont="1" applyBorder="1"/>
    <xf numFmtId="166" fontId="35" fillId="0" borderId="46" xfId="0" applyNumberFormat="1" applyFont="1" applyBorder="1" applyAlignment="1">
      <alignment horizontal="center" vertical="center" wrapText="1"/>
    </xf>
    <xf numFmtId="3" fontId="68" fillId="0" borderId="2" xfId="25" applyNumberFormat="1" applyFont="1" applyBorder="1" applyAlignment="1">
      <alignment horizontal="right"/>
    </xf>
    <xf numFmtId="14" fontId="111" fillId="0" borderId="0" xfId="55" quotePrefix="1" applyNumberFormat="1" applyFont="1" applyAlignment="1">
      <alignment vertical="center"/>
    </xf>
    <xf numFmtId="49" fontId="111" fillId="0" borderId="27" xfId="18" applyNumberFormat="1" applyFont="1" applyBorder="1" applyAlignment="1">
      <alignment vertical="center"/>
    </xf>
    <xf numFmtId="0" fontId="110" fillId="0" borderId="81" xfId="18" applyFont="1" applyBorder="1" applyAlignment="1">
      <alignment horizontal="center" vertical="center" wrapText="1"/>
    </xf>
    <xf numFmtId="0" fontId="111" fillId="0" borderId="55" xfId="55" applyFont="1" applyBorder="1" applyAlignment="1">
      <alignment vertical="center"/>
    </xf>
    <xf numFmtId="0" fontId="111" fillId="0" borderId="5" xfId="55" applyFont="1" applyBorder="1" applyAlignment="1">
      <alignment vertical="center"/>
    </xf>
    <xf numFmtId="0" fontId="111" fillId="0" borderId="71" xfId="55" applyFont="1" applyBorder="1" applyAlignment="1">
      <alignment vertical="center"/>
    </xf>
    <xf numFmtId="0" fontId="111" fillId="10" borderId="82" xfId="0" applyFont="1" applyFill="1" applyBorder="1" applyAlignment="1">
      <alignment vertical="center" wrapText="1"/>
    </xf>
    <xf numFmtId="0" fontId="111" fillId="10" borderId="83" xfId="0" applyFont="1" applyFill="1" applyBorder="1" applyAlignment="1">
      <alignment vertical="center" wrapText="1"/>
    </xf>
    <xf numFmtId="0" fontId="111" fillId="10" borderId="83" xfId="0" quotePrefix="1" applyFont="1" applyFill="1" applyBorder="1" applyAlignment="1">
      <alignment vertical="center" wrapText="1"/>
    </xf>
    <xf numFmtId="0" fontId="111" fillId="0" borderId="5" xfId="18" quotePrefix="1" applyFont="1" applyBorder="1" applyAlignment="1">
      <alignment vertical="center"/>
    </xf>
    <xf numFmtId="0" fontId="110" fillId="0" borderId="61" xfId="18" applyFont="1" applyBorder="1" applyAlignment="1">
      <alignment horizontal="center" vertical="center"/>
    </xf>
    <xf numFmtId="49" fontId="111" fillId="0" borderId="58" xfId="18" applyNumberFormat="1" applyFont="1" applyBorder="1" applyAlignment="1">
      <alignment vertical="center"/>
    </xf>
    <xf numFmtId="49" fontId="111" fillId="0" borderId="42" xfId="18" applyNumberFormat="1" applyFont="1" applyBorder="1" applyAlignment="1">
      <alignment vertical="center"/>
    </xf>
    <xf numFmtId="49" fontId="111" fillId="0" borderId="59" xfId="18" applyNumberFormat="1" applyFont="1" applyBorder="1" applyAlignment="1">
      <alignment vertical="center"/>
    </xf>
    <xf numFmtId="49" fontId="110" fillId="0" borderId="27" xfId="18" applyNumberFormat="1" applyFont="1" applyBorder="1" applyAlignment="1">
      <alignment vertical="center"/>
    </xf>
    <xf numFmtId="0" fontId="111" fillId="0" borderId="58" xfId="55" applyFont="1" applyBorder="1" applyAlignment="1">
      <alignment vertical="center"/>
    </xf>
    <xf numFmtId="0" fontId="111" fillId="0" borderId="42" xfId="55" applyFont="1" applyBorder="1" applyAlignment="1">
      <alignment vertical="center"/>
    </xf>
    <xf numFmtId="14" fontId="111" fillId="0" borderId="38" xfId="55" quotePrefix="1" applyNumberFormat="1" applyFont="1" applyBorder="1" applyAlignment="1">
      <alignment vertical="center"/>
    </xf>
    <xf numFmtId="0" fontId="112" fillId="0" borderId="27" xfId="55" applyFont="1" applyBorder="1" applyAlignment="1">
      <alignment horizontal="left" vertical="center" wrapText="1"/>
    </xf>
    <xf numFmtId="49" fontId="112" fillId="0" borderId="27" xfId="18" applyNumberFormat="1" applyFont="1" applyBorder="1" applyAlignment="1">
      <alignment vertical="center"/>
    </xf>
    <xf numFmtId="0" fontId="111" fillId="10" borderId="84" xfId="0" applyFont="1" applyFill="1" applyBorder="1" applyAlignment="1">
      <alignment vertical="center" wrapText="1"/>
    </xf>
    <xf numFmtId="0" fontId="111" fillId="10" borderId="85" xfId="0" applyFont="1" applyFill="1" applyBorder="1" applyAlignment="1">
      <alignment vertical="center" wrapText="1"/>
    </xf>
    <xf numFmtId="49" fontId="112" fillId="0" borderId="27" xfId="18" applyNumberFormat="1" applyFont="1" applyBorder="1" applyAlignment="1">
      <alignment vertical="center" wrapText="1"/>
    </xf>
    <xf numFmtId="0" fontId="111" fillId="0" borderId="38" xfId="0" applyFont="1" applyBorder="1" applyAlignment="1">
      <alignment vertical="center"/>
    </xf>
    <xf numFmtId="0" fontId="111" fillId="10" borderId="85" xfId="0" quotePrefix="1" applyFont="1" applyFill="1" applyBorder="1" applyAlignment="1">
      <alignment vertical="center" wrapText="1"/>
    </xf>
    <xf numFmtId="0" fontId="111" fillId="0" borderId="42" xfId="18" quotePrefix="1" applyFont="1" applyBorder="1" applyAlignment="1">
      <alignment vertical="center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0" fontId="114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43" fillId="0" borderId="27" xfId="36" applyNumberFormat="1" applyFont="1" applyBorder="1" applyAlignment="1">
      <alignment horizontal="right" vertical="center"/>
    </xf>
    <xf numFmtId="170" fontId="60" fillId="0" borderId="8" xfId="19" applyNumberFormat="1" applyFont="1" applyBorder="1"/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166" fontId="6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3" fillId="0" borderId="0" xfId="25" applyNumberFormat="1" applyFont="1" applyAlignment="1">
      <alignment horizontal="right"/>
    </xf>
    <xf numFmtId="0" fontId="121" fillId="0" borderId="0" xfId="20" applyFont="1" applyAlignment="1">
      <alignment horizontal="right"/>
    </xf>
    <xf numFmtId="167" fontId="50" fillId="0" borderId="0" xfId="20" applyNumberFormat="1"/>
    <xf numFmtId="170" fontId="111" fillId="0" borderId="40" xfId="53" applyNumberFormat="1" applyFont="1" applyFill="1" applyBorder="1" applyAlignment="1">
      <alignment horizontal="right" vertical="center"/>
    </xf>
    <xf numFmtId="170" fontId="111" fillId="0" borderId="20" xfId="18" applyNumberFormat="1" applyFont="1" applyBorder="1" applyAlignment="1">
      <alignment horizontal="right" vertical="center"/>
    </xf>
    <xf numFmtId="170" fontId="111" fillId="0" borderId="23" xfId="18" applyNumberFormat="1" applyFont="1" applyBorder="1" applyAlignment="1">
      <alignment horizontal="right" vertical="center"/>
    </xf>
    <xf numFmtId="170" fontId="111" fillId="0" borderId="26" xfId="18" applyNumberFormat="1" applyFont="1" applyBorder="1" applyAlignment="1">
      <alignment horizontal="right" vertical="center"/>
    </xf>
    <xf numFmtId="170" fontId="111" fillId="0" borderId="23" xfId="53" applyNumberFormat="1" applyFont="1" applyFill="1" applyBorder="1" applyAlignment="1">
      <alignment horizontal="right" vertical="center"/>
    </xf>
    <xf numFmtId="166" fontId="36" fillId="0" borderId="50" xfId="21" applyNumberFormat="1" applyFont="1" applyBorder="1" applyAlignment="1">
      <alignment horizontal="right" vertical="center" wrapText="1" indent="1"/>
    </xf>
    <xf numFmtId="167" fontId="36" fillId="0" borderId="23" xfId="26" applyNumberFormat="1" applyFont="1" applyFill="1" applyBorder="1" applyProtection="1">
      <protection locked="0"/>
    </xf>
    <xf numFmtId="171" fontId="55" fillId="0" borderId="2" xfId="0" applyNumberFormat="1" applyFont="1" applyBorder="1" applyAlignment="1">
      <alignment vertical="center" wrapText="1"/>
    </xf>
    <xf numFmtId="3" fontId="35" fillId="0" borderId="40" xfId="50" applyNumberFormat="1" applyFont="1" applyBorder="1" applyAlignment="1">
      <alignment horizontal="center" vertical="center" wrapText="1"/>
    </xf>
    <xf numFmtId="0" fontId="111" fillId="10" borderId="2" xfId="0" applyFont="1" applyFill="1" applyBorder="1" applyAlignment="1">
      <alignment vertical="center" wrapText="1"/>
    </xf>
    <xf numFmtId="3" fontId="35" fillId="0" borderId="51" xfId="21" applyNumberFormat="1" applyFont="1" applyBorder="1"/>
    <xf numFmtId="3" fontId="35" fillId="0" borderId="0" xfId="21" applyNumberFormat="1" applyFont="1"/>
    <xf numFmtId="3" fontId="35" fillId="0" borderId="24" xfId="21" applyNumberFormat="1" applyFont="1" applyBorder="1"/>
    <xf numFmtId="3" fontId="20" fillId="0" borderId="0" xfId="21" applyNumberFormat="1"/>
    <xf numFmtId="166" fontId="0" fillId="0" borderId="0" xfId="0" applyNumberFormat="1" applyAlignment="1">
      <alignment vertical="center"/>
    </xf>
    <xf numFmtId="0" fontId="20" fillId="0" borderId="8" xfId="20" quotePrefix="1" applyFont="1" applyBorder="1" applyAlignment="1">
      <alignment wrapText="1"/>
    </xf>
    <xf numFmtId="0" fontId="20" fillId="0" borderId="8" xfId="20" applyFont="1" applyBorder="1" applyAlignment="1">
      <alignment wrapText="1"/>
    </xf>
    <xf numFmtId="167" fontId="20" fillId="0" borderId="18" xfId="26" applyNumberFormat="1" applyFont="1" applyFill="1" applyBorder="1" applyAlignment="1">
      <alignment vertical="center"/>
    </xf>
    <xf numFmtId="167" fontId="20" fillId="0" borderId="23" xfId="26" applyNumberFormat="1" applyFont="1" applyFill="1" applyBorder="1" applyAlignment="1">
      <alignment vertical="center"/>
    </xf>
    <xf numFmtId="167" fontId="31" fillId="0" borderId="27" xfId="26" applyNumberFormat="1" applyFont="1" applyBorder="1"/>
    <xf numFmtId="3" fontId="36" fillId="0" borderId="58" xfId="21" applyNumberFormat="1" applyFont="1" applyBorder="1" applyAlignment="1">
      <alignment horizontal="right" vertical="center" wrapText="1"/>
    </xf>
    <xf numFmtId="3" fontId="36" fillId="0" borderId="57" xfId="21" applyNumberFormat="1" applyFont="1" applyBorder="1" applyAlignment="1">
      <alignment horizontal="right" vertical="center" wrapText="1"/>
    </xf>
    <xf numFmtId="166" fontId="36" fillId="0" borderId="17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 indent="1"/>
    </xf>
    <xf numFmtId="166" fontId="9" fillId="0" borderId="0" xfId="21" applyNumberFormat="1" applyFont="1"/>
    <xf numFmtId="166" fontId="35" fillId="0" borderId="26" xfId="21" applyNumberFormat="1" applyFont="1" applyBorder="1" applyAlignment="1">
      <alignment horizontal="right" vertical="center" wrapText="1" indent="1"/>
    </xf>
    <xf numFmtId="166" fontId="32" fillId="0" borderId="19" xfId="0" quotePrefix="1" applyNumberFormat="1" applyFont="1" applyBorder="1" applyAlignment="1" applyProtection="1">
      <alignment horizontal="right" vertical="center" wrapText="1" indent="1"/>
      <protection locked="0"/>
    </xf>
    <xf numFmtId="166" fontId="27" fillId="0" borderId="60" xfId="36" applyNumberFormat="1" applyFont="1" applyBorder="1" applyAlignment="1">
      <alignment horizontal="center" vertical="center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49" fontId="43" fillId="0" borderId="10" xfId="36" applyNumberFormat="1" applyFont="1" applyBorder="1" applyAlignment="1">
      <alignment horizontal="left" vertical="center"/>
    </xf>
    <xf numFmtId="166" fontId="26" fillId="0" borderId="0" xfId="0" applyNumberFormat="1" applyFont="1" applyAlignment="1">
      <alignment horizontal="right" vertical="center" wrapText="1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74" fillId="0" borderId="58" xfId="36" applyNumberFormat="1" applyFont="1" applyBorder="1" applyAlignment="1" applyProtection="1">
      <alignment horizontal="right" vertical="center" wrapText="1"/>
      <protection locked="0"/>
    </xf>
    <xf numFmtId="0" fontId="20" fillId="0" borderId="0" xfId="21" applyAlignment="1">
      <alignment wrapText="1"/>
    </xf>
    <xf numFmtId="169" fontId="37" fillId="0" borderId="51" xfId="36" applyNumberFormat="1" applyFont="1" applyBorder="1" applyAlignment="1">
      <alignment horizontal="left" vertical="center" wrapText="1"/>
    </xf>
    <xf numFmtId="166" fontId="37" fillId="0" borderId="51" xfId="36" applyNumberFormat="1" applyFont="1" applyBorder="1" applyAlignment="1">
      <alignment horizontal="right" vertical="center"/>
    </xf>
    <xf numFmtId="166" fontId="37" fillId="0" borderId="51" xfId="36" applyNumberFormat="1" applyFont="1" applyBorder="1" applyAlignment="1">
      <alignment horizontal="right" vertical="center" wrapText="1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49" fontId="111" fillId="0" borderId="41" xfId="18" applyNumberFormat="1" applyFont="1" applyBorder="1" applyAlignment="1">
      <alignment vertical="center"/>
    </xf>
    <xf numFmtId="49" fontId="111" fillId="0" borderId="86" xfId="18" applyNumberFormat="1" applyFont="1" applyBorder="1" applyAlignment="1">
      <alignment vertical="center"/>
    </xf>
    <xf numFmtId="0" fontId="111" fillId="10" borderId="3" xfId="0" applyFont="1" applyFill="1" applyBorder="1" applyAlignment="1">
      <alignment vertical="center" wrapText="1"/>
    </xf>
    <xf numFmtId="166" fontId="6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7" xfId="21" applyNumberFormat="1" applyFont="1" applyBorder="1" applyAlignment="1" applyProtection="1">
      <alignment horizontal="right" vertical="center" wrapText="1" indent="1"/>
      <protection locked="0"/>
    </xf>
    <xf numFmtId="170" fontId="107" fillId="0" borderId="21" xfId="19" applyNumberFormat="1" applyFont="1" applyBorder="1"/>
    <xf numFmtId="170" fontId="123" fillId="0" borderId="21" xfId="19" applyNumberFormat="1" applyFont="1" applyBorder="1"/>
    <xf numFmtId="170" fontId="74" fillId="0" borderId="21" xfId="19" applyNumberFormat="1" applyFont="1" applyBorder="1"/>
    <xf numFmtId="4" fontId="40" fillId="0" borderId="0" xfId="0" applyNumberFormat="1" applyFont="1" applyAlignment="1">
      <alignment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166" fontId="43" fillId="0" borderId="58" xfId="36" applyNumberFormat="1" applyFont="1" applyBorder="1" applyAlignment="1">
      <alignment horizontal="right" vertical="center"/>
    </xf>
    <xf numFmtId="166" fontId="43" fillId="0" borderId="38" xfId="36" applyNumberFormat="1" applyFont="1" applyBorder="1" applyAlignment="1">
      <alignment horizontal="right" vertical="center"/>
    </xf>
    <xf numFmtId="0" fontId="67" fillId="0" borderId="33" xfId="0" applyFont="1" applyBorder="1" applyAlignment="1">
      <alignment horizontal="left" vertical="center"/>
    </xf>
    <xf numFmtId="170" fontId="43" fillId="0" borderId="27" xfId="0" applyNumberFormat="1" applyFont="1" applyBorder="1" applyAlignment="1" applyProtection="1">
      <alignment horizontal="right" vertical="center" indent="1"/>
      <protection locked="0"/>
    </xf>
    <xf numFmtId="0" fontId="38" fillId="0" borderId="34" xfId="0" applyFont="1" applyBorder="1" applyAlignment="1">
      <alignment horizontal="left" vertical="center"/>
    </xf>
    <xf numFmtId="0" fontId="38" fillId="0" borderId="33" xfId="0" applyFont="1" applyBorder="1" applyAlignment="1">
      <alignment horizontal="left" vertical="center"/>
    </xf>
    <xf numFmtId="171" fontId="36" fillId="0" borderId="27" xfId="0" applyNumberFormat="1" applyFont="1" applyBorder="1" applyAlignment="1">
      <alignment horizontal="right" vertical="center" wrapText="1"/>
    </xf>
    <xf numFmtId="170" fontId="60" fillId="0" borderId="12" xfId="19" applyNumberFormat="1" applyFont="1" applyBorder="1"/>
    <xf numFmtId="0" fontId="0" fillId="0" borderId="34" xfId="0" quotePrefix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125" fillId="0" borderId="0" xfId="0" applyFont="1" applyAlignment="1">
      <alignment vertical="center" wrapText="1"/>
    </xf>
    <xf numFmtId="170" fontId="124" fillId="0" borderId="20" xfId="53" applyNumberFormat="1" applyFont="1" applyFill="1" applyBorder="1" applyAlignment="1">
      <alignment horizontal="right" vertical="center"/>
    </xf>
    <xf numFmtId="0" fontId="9" fillId="0" borderId="36" xfId="0" applyFont="1" applyBorder="1" applyAlignment="1">
      <alignment vertical="center" wrapText="1"/>
    </xf>
    <xf numFmtId="0" fontId="9" fillId="0" borderId="47" xfId="0" quotePrefix="1" applyFont="1" applyBorder="1" applyAlignment="1">
      <alignment vertical="center" wrapText="1"/>
    </xf>
    <xf numFmtId="170" fontId="74" fillId="0" borderId="73" xfId="19" applyNumberFormat="1" applyFont="1" applyBorder="1"/>
    <xf numFmtId="0" fontId="0" fillId="0" borderId="75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170" fontId="74" fillId="0" borderId="81" xfId="19" applyNumberFormat="1" applyFont="1" applyBorder="1"/>
    <xf numFmtId="166" fontId="108" fillId="0" borderId="44" xfId="0" applyNumberFormat="1" applyFont="1" applyBorder="1" applyAlignment="1" applyProtection="1">
      <alignment horizontal="right" vertical="center" wrapText="1" indent="1"/>
      <protection locked="0"/>
    </xf>
    <xf numFmtId="3" fontId="23" fillId="0" borderId="0" xfId="21" applyNumberFormat="1" applyFont="1"/>
    <xf numFmtId="0" fontId="20" fillId="0" borderId="8" xfId="20" applyFont="1" applyBorder="1" applyAlignment="1">
      <alignment horizontal="left"/>
    </xf>
    <xf numFmtId="170" fontId="74" fillId="0" borderId="16" xfId="19" applyNumberFormat="1" applyFont="1" applyBorder="1"/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166" fontId="12" fillId="0" borderId="0" xfId="21" applyNumberFormat="1" applyFont="1" applyAlignment="1">
      <alignment horizontal="left" vertical="center"/>
    </xf>
    <xf numFmtId="167" fontId="36" fillId="0" borderId="57" xfId="26" applyNumberFormat="1" applyFont="1" applyFill="1" applyBorder="1" applyProtection="1">
      <protection locked="0"/>
    </xf>
    <xf numFmtId="3" fontId="16" fillId="0" borderId="33" xfId="21" applyNumberFormat="1" applyFont="1" applyBorder="1" applyAlignment="1">
      <alignment horizontal="center" vertical="center" wrapText="1"/>
    </xf>
    <xf numFmtId="3" fontId="27" fillId="0" borderId="44" xfId="21" applyNumberFormat="1" applyFont="1" applyBorder="1" applyAlignment="1">
      <alignment horizontal="right" vertical="center" wrapText="1"/>
    </xf>
    <xf numFmtId="3" fontId="29" fillId="0" borderId="36" xfId="27" applyNumberFormat="1" applyFont="1" applyFill="1" applyBorder="1" applyAlignment="1" applyProtection="1">
      <alignment horizontal="right" wrapText="1"/>
    </xf>
    <xf numFmtId="3" fontId="35" fillId="0" borderId="44" xfId="21" applyNumberFormat="1" applyFont="1" applyBorder="1" applyAlignment="1">
      <alignment horizontal="right" vertical="center" wrapText="1"/>
    </xf>
    <xf numFmtId="3" fontId="16" fillId="0" borderId="27" xfId="21" applyNumberFormat="1" applyFont="1" applyBorder="1" applyAlignment="1">
      <alignment horizontal="center" vertical="center" wrapText="1"/>
    </xf>
    <xf numFmtId="166" fontId="97" fillId="0" borderId="63" xfId="0" applyNumberFormat="1" applyFont="1" applyBorder="1" applyAlignment="1" applyProtection="1">
      <alignment horizontal="left" vertical="center" wrapText="1"/>
      <protection locked="0"/>
    </xf>
    <xf numFmtId="166" fontId="81" fillId="0" borderId="15" xfId="0" applyNumberFormat="1" applyFont="1" applyBorder="1" applyAlignment="1" applyProtection="1">
      <alignment horizontal="right" vertical="center" wrapText="1"/>
      <protection locked="0"/>
    </xf>
    <xf numFmtId="49" fontId="81" fillId="0" borderId="16" xfId="0" applyNumberFormat="1" applyFont="1" applyBorder="1" applyAlignment="1" applyProtection="1">
      <alignment horizontal="center" vertical="center" wrapText="1"/>
      <protection locked="0"/>
    </xf>
    <xf numFmtId="166" fontId="81" fillId="0" borderId="61" xfId="0" applyNumberFormat="1" applyFont="1" applyBorder="1" applyAlignment="1" applyProtection="1">
      <alignment horizontal="right" vertical="center" wrapText="1"/>
      <protection locked="0"/>
    </xf>
    <xf numFmtId="166" fontId="70" fillId="0" borderId="8" xfId="28" applyNumberFormat="1" applyFont="1" applyBorder="1" applyAlignment="1" applyProtection="1">
      <alignment horizontal="left" vertical="center" wrapText="1"/>
      <protection locked="0"/>
    </xf>
    <xf numFmtId="166" fontId="70" fillId="0" borderId="2" xfId="28" applyNumberFormat="1" applyFont="1" applyBorder="1" applyAlignment="1" applyProtection="1">
      <alignment vertical="center" wrapText="1"/>
      <protection locked="0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70" fillId="0" borderId="2" xfId="0" applyNumberFormat="1" applyFont="1" applyBorder="1" applyAlignment="1" applyProtection="1">
      <alignment vertical="center" wrapText="1"/>
      <protection locked="0"/>
    </xf>
    <xf numFmtId="166" fontId="70" fillId="0" borderId="18" xfId="0" applyNumberFormat="1" applyFont="1" applyBorder="1" applyAlignment="1">
      <alignment vertical="center" wrapText="1"/>
    </xf>
    <xf numFmtId="0" fontId="98" fillId="0" borderId="8" xfId="0" applyFont="1" applyBorder="1" applyAlignment="1">
      <alignment wrapText="1"/>
    </xf>
    <xf numFmtId="166" fontId="70" fillId="0" borderId="2" xfId="28" applyNumberFormat="1" applyFont="1" applyBorder="1" applyAlignment="1" applyProtection="1">
      <alignment horizontal="right" vertical="center" wrapText="1"/>
      <protection locked="0"/>
    </xf>
    <xf numFmtId="166" fontId="70" fillId="0" borderId="2" xfId="0" applyNumberFormat="1" applyFont="1" applyBorder="1" applyAlignment="1" applyProtection="1">
      <alignment horizontal="right" vertical="center" wrapText="1"/>
      <protection locked="0"/>
    </xf>
    <xf numFmtId="0" fontId="98" fillId="0" borderId="10" xfId="0" applyFont="1" applyBorder="1" applyAlignment="1">
      <alignment wrapText="1"/>
    </xf>
    <xf numFmtId="166" fontId="70" fillId="0" borderId="6" xfId="28" applyNumberFormat="1" applyFont="1" applyBorder="1" applyAlignment="1" applyProtection="1">
      <alignment horizontal="right" vertical="center" wrapText="1"/>
      <protection locked="0"/>
    </xf>
    <xf numFmtId="49" fontId="70" fillId="0" borderId="6" xfId="0" applyNumberFormat="1" applyFont="1" applyBorder="1" applyAlignment="1" applyProtection="1">
      <alignment horizontal="center" vertical="center" wrapText="1"/>
      <protection locked="0"/>
    </xf>
    <xf numFmtId="166" fontId="70" fillId="0" borderId="6" xfId="0" applyNumberFormat="1" applyFont="1" applyBorder="1" applyAlignment="1" applyProtection="1">
      <alignment horizontal="right" vertical="center" wrapText="1"/>
      <protection locked="0"/>
    </xf>
    <xf numFmtId="166" fontId="70" fillId="0" borderId="23" xfId="0" applyNumberFormat="1" applyFont="1" applyBorder="1" applyAlignment="1">
      <alignment vertical="center" wrapText="1"/>
    </xf>
    <xf numFmtId="0" fontId="98" fillId="0" borderId="12" xfId="0" applyFont="1" applyBorder="1" applyAlignment="1">
      <alignment vertical="center" wrapText="1"/>
    </xf>
    <xf numFmtId="166" fontId="70" fillId="0" borderId="21" xfId="28" applyNumberFormat="1" applyFont="1" applyBorder="1" applyAlignment="1" applyProtection="1">
      <alignment horizontal="right" vertical="center" wrapText="1"/>
      <protection locked="0"/>
    </xf>
    <xf numFmtId="49" fontId="70" fillId="0" borderId="21" xfId="0" applyNumberFormat="1" applyFont="1" applyBorder="1" applyAlignment="1" applyProtection="1">
      <alignment horizontal="center" vertical="center" wrapText="1"/>
      <protection locked="0"/>
    </xf>
    <xf numFmtId="166" fontId="70" fillId="0" borderId="21" xfId="0" applyNumberFormat="1" applyFont="1" applyBorder="1" applyAlignment="1" applyProtection="1">
      <alignment horizontal="right" vertical="center" wrapText="1"/>
      <protection locked="0"/>
    </xf>
    <xf numFmtId="166" fontId="70" fillId="0" borderId="22" xfId="0" applyNumberFormat="1" applyFont="1" applyBorder="1" applyAlignment="1">
      <alignment vertical="center" wrapText="1"/>
    </xf>
    <xf numFmtId="166" fontId="37" fillId="0" borderId="60" xfId="0" applyNumberFormat="1" applyFont="1" applyBorder="1" applyAlignment="1">
      <alignment horizontal="left" vertical="center" wrapText="1"/>
    </xf>
    <xf numFmtId="166" fontId="37" fillId="0" borderId="39" xfId="0" applyNumberFormat="1" applyFont="1" applyBorder="1" applyAlignment="1">
      <alignment vertical="center" wrapText="1"/>
    </xf>
    <xf numFmtId="166" fontId="37" fillId="0" borderId="25" xfId="0" applyNumberFormat="1" applyFont="1" applyBorder="1" applyAlignment="1">
      <alignment vertical="center" wrapText="1"/>
    </xf>
    <xf numFmtId="166" fontId="37" fillId="0" borderId="26" xfId="0" applyNumberFormat="1" applyFont="1" applyBorder="1" applyAlignment="1">
      <alignment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87" fillId="0" borderId="34" xfId="0" applyNumberFormat="1" applyFont="1" applyBorder="1" applyAlignment="1">
      <alignment horizontal="left" vertical="center" wrapText="1"/>
    </xf>
    <xf numFmtId="166" fontId="87" fillId="0" borderId="13" xfId="0" applyNumberFormat="1" applyFont="1" applyBorder="1" applyAlignment="1">
      <alignment horizontal="right" vertical="center" wrapText="1"/>
    </xf>
    <xf numFmtId="166" fontId="87" fillId="0" borderId="33" xfId="0" applyNumberFormat="1" applyFont="1" applyBorder="1" applyAlignment="1">
      <alignment horizontal="right" vertical="center" wrapText="1"/>
    </xf>
    <xf numFmtId="166" fontId="87" fillId="0" borderId="44" xfId="0" applyNumberFormat="1" applyFont="1" applyBorder="1" applyAlignment="1">
      <alignment horizontal="right" vertical="center" wrapText="1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0" fillId="0" borderId="18" xfId="0" applyNumberFormat="1" applyBorder="1" applyAlignment="1">
      <alignment vertical="center" wrapText="1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0" fillId="0" borderId="23" xfId="0" applyNumberFormat="1" applyBorder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0" fillId="0" borderId="30" xfId="28" applyNumberFormat="1" applyFont="1" applyBorder="1" applyAlignment="1" applyProtection="1">
      <alignment horizontal="left" vertical="center" wrapText="1"/>
      <protection locked="0"/>
    </xf>
    <xf numFmtId="166" fontId="67" fillId="0" borderId="0" xfId="0" applyNumberFormat="1" applyFont="1" applyAlignment="1">
      <alignment vertical="center" wrapText="1"/>
    </xf>
    <xf numFmtId="166" fontId="70" fillId="0" borderId="47" xfId="28" applyNumberFormat="1" applyFont="1" applyBorder="1" applyAlignment="1" applyProtection="1">
      <alignment horizontal="left" vertical="center" wrapText="1"/>
      <protection locked="0"/>
    </xf>
    <xf numFmtId="166" fontId="70" fillId="0" borderId="8" xfId="28" applyNumberFormat="1" applyFont="1" applyBorder="1" applyAlignment="1" applyProtection="1">
      <alignment horizontal="right" vertical="center" wrapText="1"/>
      <protection locked="0"/>
    </xf>
    <xf numFmtId="166" fontId="70" fillId="0" borderId="31" xfId="28" applyNumberFormat="1" applyFont="1" applyBorder="1" applyAlignment="1" applyProtection="1">
      <alignment horizontal="left" vertical="center" wrapText="1"/>
      <protection locked="0"/>
    </xf>
    <xf numFmtId="166" fontId="70" fillId="0" borderId="10" xfId="28" applyNumberFormat="1" applyFont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Border="1" applyAlignment="1">
      <alignment vertical="center" wrapText="1"/>
    </xf>
    <xf numFmtId="0" fontId="98" fillId="0" borderId="75" xfId="0" applyFont="1" applyBorder="1" applyAlignment="1">
      <alignment wrapText="1"/>
    </xf>
    <xf numFmtId="166" fontId="70" fillId="0" borderId="8" xfId="28" applyNumberFormat="1" applyFont="1" applyBorder="1" applyAlignment="1" applyProtection="1">
      <alignment vertical="center" wrapText="1"/>
      <protection locked="0"/>
    </xf>
    <xf numFmtId="0" fontId="98" fillId="0" borderId="42" xfId="0" applyFont="1" applyBorder="1" applyAlignment="1">
      <alignment wrapText="1"/>
    </xf>
    <xf numFmtId="166" fontId="70" fillId="0" borderId="9" xfId="28" applyNumberFormat="1" applyFont="1" applyBorder="1" applyAlignment="1" applyProtection="1">
      <alignment vertical="center" wrapText="1"/>
      <protection locked="0"/>
    </xf>
    <xf numFmtId="49" fontId="70" fillId="0" borderId="3" xfId="0" applyNumberFormat="1" applyFont="1" applyBorder="1" applyAlignment="1" applyProtection="1">
      <alignment horizontal="center" vertical="center" wrapText="1"/>
      <protection locked="0"/>
    </xf>
    <xf numFmtId="166" fontId="70" fillId="0" borderId="3" xfId="0" applyNumberFormat="1" applyFont="1" applyBorder="1" applyAlignment="1" applyProtection="1">
      <alignment vertical="center" wrapText="1"/>
      <protection locked="0"/>
    </xf>
    <xf numFmtId="0" fontId="98" fillId="0" borderId="47" xfId="0" applyFont="1" applyBorder="1" applyAlignment="1">
      <alignment wrapText="1"/>
    </xf>
    <xf numFmtId="166" fontId="75" fillId="0" borderId="18" xfId="0" applyNumberFormat="1" applyFont="1" applyBorder="1" applyAlignment="1">
      <alignment vertical="center" wrapText="1"/>
    </xf>
    <xf numFmtId="166" fontId="75" fillId="0" borderId="20" xfId="0" applyNumberFormat="1" applyFont="1" applyBorder="1" applyAlignment="1">
      <alignment vertical="center" wrapText="1"/>
    </xf>
    <xf numFmtId="0" fontId="98" fillId="0" borderId="43" xfId="0" applyFont="1" applyBorder="1" applyAlignment="1">
      <alignment wrapText="1"/>
    </xf>
    <xf numFmtId="166" fontId="70" fillId="0" borderId="39" xfId="28" applyNumberFormat="1" applyFont="1" applyBorder="1" applyAlignment="1" applyProtection="1">
      <alignment vertical="center" wrapText="1"/>
      <protection locked="0"/>
    </xf>
    <xf numFmtId="49" fontId="70" fillId="0" borderId="25" xfId="0" applyNumberFormat="1" applyFont="1" applyBorder="1" applyAlignment="1" applyProtection="1">
      <alignment horizontal="center" vertical="center" wrapText="1"/>
      <protection locked="0"/>
    </xf>
    <xf numFmtId="166" fontId="70" fillId="0" borderId="25" xfId="0" applyNumberFormat="1" applyFont="1" applyBorder="1" applyAlignment="1" applyProtection="1">
      <alignment vertical="center" wrapText="1"/>
      <protection locked="0"/>
    </xf>
    <xf numFmtId="0" fontId="86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98" fillId="0" borderId="75" xfId="28" applyFont="1" applyBorder="1" applyAlignment="1">
      <alignment vertical="center"/>
    </xf>
    <xf numFmtId="166" fontId="79" fillId="0" borderId="9" xfId="28" applyNumberFormat="1" applyFont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104" fillId="0" borderId="75" xfId="28" applyFont="1" applyBorder="1" applyAlignment="1">
      <alignment vertical="center" wrapText="1"/>
    </xf>
    <xf numFmtId="166" fontId="0" fillId="0" borderId="9" xfId="28" applyNumberFormat="1" applyFont="1" applyBorder="1" applyAlignment="1" applyProtection="1">
      <alignment horizontal="right" vertical="center" wrapText="1"/>
      <protection locked="0"/>
    </xf>
    <xf numFmtId="0" fontId="104" fillId="0" borderId="60" xfId="28" applyFon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49" fontId="0" fillId="0" borderId="21" xfId="0" applyNumberFormat="1" applyBorder="1" applyAlignment="1" applyProtection="1">
      <alignment horizontal="center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97" fillId="0" borderId="34" xfId="0" applyNumberFormat="1" applyFont="1" applyBorder="1" applyAlignment="1" applyProtection="1">
      <alignment horizontal="left" vertical="center" wrapText="1"/>
      <protection locked="0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75" fillId="0" borderId="0" xfId="0" applyNumberFormat="1" applyFont="1" applyAlignment="1">
      <alignment vertical="center" wrapText="1"/>
    </xf>
    <xf numFmtId="166" fontId="98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04" fillId="0" borderId="8" xfId="0" applyNumberFormat="1" applyFont="1" applyBorder="1" applyAlignment="1" applyProtection="1">
      <alignment horizontal="right" vertical="center" wrapText="1"/>
      <protection locked="0"/>
    </xf>
    <xf numFmtId="49" fontId="104" fillId="0" borderId="2" xfId="0" applyNumberFormat="1" applyFont="1" applyBorder="1" applyAlignment="1" applyProtection="1">
      <alignment horizontal="center" vertical="center" wrapText="1"/>
      <protection locked="0"/>
    </xf>
    <xf numFmtId="166" fontId="104" fillId="0" borderId="2" xfId="0" applyNumberFormat="1" applyFont="1" applyBorder="1" applyAlignment="1" applyProtection="1">
      <alignment horizontal="right" vertical="center" wrapText="1"/>
      <protection locked="0"/>
    </xf>
    <xf numFmtId="166" fontId="104" fillId="0" borderId="18" xfId="0" applyNumberFormat="1" applyFont="1" applyBorder="1" applyAlignment="1">
      <alignment vertical="center" wrapText="1"/>
    </xf>
    <xf numFmtId="0" fontId="98" fillId="0" borderId="75" xfId="0" applyFont="1" applyBorder="1" applyAlignment="1">
      <alignment vertical="center"/>
    </xf>
    <xf numFmtId="166" fontId="104" fillId="0" borderId="9" xfId="0" applyNumberFormat="1" applyFont="1" applyBorder="1" applyAlignment="1" applyProtection="1">
      <alignment horizontal="right" vertical="center" wrapText="1"/>
      <protection locked="0"/>
    </xf>
    <xf numFmtId="49" fontId="104" fillId="0" borderId="3" xfId="0" applyNumberFormat="1" applyFont="1" applyBorder="1" applyAlignment="1" applyProtection="1">
      <alignment horizontal="center" vertical="center" wrapText="1"/>
      <protection locked="0"/>
    </xf>
    <xf numFmtId="166" fontId="104" fillId="0" borderId="3" xfId="0" applyNumberFormat="1" applyFont="1" applyBorder="1" applyAlignment="1" applyProtection="1">
      <alignment horizontal="right" vertical="center" wrapText="1"/>
      <protection locked="0"/>
    </xf>
    <xf numFmtId="166" fontId="104" fillId="0" borderId="20" xfId="0" applyNumberFormat="1" applyFont="1" applyBorder="1" applyAlignment="1">
      <alignment vertical="center" wrapText="1"/>
    </xf>
    <xf numFmtId="0" fontId="97" fillId="0" borderId="34" xfId="0" applyFont="1" applyBorder="1" applyAlignment="1">
      <alignment vertical="center"/>
    </xf>
    <xf numFmtId="0" fontId="98" fillId="0" borderId="47" xfId="0" quotePrefix="1" applyFont="1" applyBorder="1" applyAlignment="1">
      <alignment vertical="center" wrapText="1"/>
    </xf>
    <xf numFmtId="49" fontId="98" fillId="0" borderId="2" xfId="0" applyNumberFormat="1" applyFont="1" applyBorder="1" applyAlignment="1" applyProtection="1">
      <alignment horizontal="center" vertical="center" wrapText="1"/>
      <protection locked="0"/>
    </xf>
    <xf numFmtId="166" fontId="98" fillId="0" borderId="2" xfId="0" applyNumberFormat="1" applyFont="1" applyBorder="1" applyAlignment="1" applyProtection="1">
      <alignment horizontal="right" vertical="center" wrapText="1"/>
      <protection locked="0"/>
    </xf>
    <xf numFmtId="166" fontId="98" fillId="0" borderId="20" xfId="0" applyNumberFormat="1" applyFont="1" applyBorder="1" applyAlignment="1">
      <alignment vertical="center" wrapText="1"/>
    </xf>
    <xf numFmtId="0" fontId="104" fillId="0" borderId="47" xfId="0" quotePrefix="1" applyFont="1" applyBorder="1" applyAlignment="1">
      <alignment vertical="center"/>
    </xf>
    <xf numFmtId="0" fontId="97" fillId="0" borderId="34" xfId="0" applyFont="1" applyBorder="1" applyAlignment="1">
      <alignment vertical="center" wrapText="1"/>
    </xf>
    <xf numFmtId="166" fontId="96" fillId="0" borderId="0" xfId="0" applyNumberFormat="1" applyFont="1" applyAlignment="1">
      <alignment vertical="center" wrapText="1"/>
    </xf>
    <xf numFmtId="49" fontId="98" fillId="0" borderId="3" xfId="0" applyNumberFormat="1" applyFont="1" applyBorder="1" applyAlignment="1" applyProtection="1">
      <alignment horizontal="center" vertical="center" wrapText="1"/>
      <protection locked="0"/>
    </xf>
    <xf numFmtId="166" fontId="98" fillId="0" borderId="3" xfId="0" applyNumberFormat="1" applyFont="1" applyBorder="1" applyAlignment="1" applyProtection="1">
      <alignment horizontal="right" vertical="center" wrapText="1"/>
      <protection locked="0"/>
    </xf>
    <xf numFmtId="166" fontId="98" fillId="0" borderId="9" xfId="0" applyNumberFormat="1" applyFont="1" applyBorder="1" applyAlignment="1" applyProtection="1">
      <alignment horizontal="right" vertical="center" wrapText="1"/>
      <protection locked="0"/>
    </xf>
    <xf numFmtId="0" fontId="98" fillId="0" borderId="47" xfId="0" applyFont="1" applyBorder="1" applyAlignment="1">
      <alignment vertical="center"/>
    </xf>
    <xf numFmtId="166" fontId="98" fillId="0" borderId="8" xfId="0" applyNumberFormat="1" applyFont="1" applyBorder="1" applyAlignment="1" applyProtection="1">
      <alignment horizontal="right" vertical="center" wrapText="1"/>
      <protection locked="0"/>
    </xf>
    <xf numFmtId="166" fontId="98" fillId="0" borderId="18" xfId="0" applyNumberFormat="1" applyFont="1" applyBorder="1" applyAlignment="1">
      <alignment vertical="center" wrapText="1"/>
    </xf>
    <xf numFmtId="166" fontId="120" fillId="0" borderId="2" xfId="0" applyNumberFormat="1" applyFont="1" applyBorder="1" applyAlignment="1" applyProtection="1">
      <alignment horizontal="right" vertical="center" wrapText="1"/>
      <protection locked="0"/>
    </xf>
    <xf numFmtId="166" fontId="120" fillId="0" borderId="72" xfId="0" applyNumberFormat="1" applyFont="1" applyBorder="1" applyAlignment="1" applyProtection="1">
      <alignment horizontal="right" vertical="center" wrapText="1"/>
      <protection locked="0"/>
    </xf>
    <xf numFmtId="166" fontId="120" fillId="0" borderId="18" xfId="0" applyNumberFormat="1" applyFont="1" applyBorder="1" applyAlignment="1">
      <alignment vertical="center" wrapText="1"/>
    </xf>
    <xf numFmtId="0" fontId="86" fillId="0" borderId="34" xfId="21" applyFont="1" applyBorder="1" applyAlignment="1" applyProtection="1">
      <alignment vertical="center"/>
      <protection locked="0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04" fillId="0" borderId="64" xfId="0" quotePrefix="1" applyFont="1" applyBorder="1" applyAlignment="1">
      <alignment vertical="center"/>
    </xf>
    <xf numFmtId="166" fontId="104" fillId="0" borderId="11" xfId="0" applyNumberFormat="1" applyFont="1" applyBorder="1" applyAlignment="1" applyProtection="1">
      <alignment horizontal="right" vertical="center" wrapText="1"/>
      <protection locked="0"/>
    </xf>
    <xf numFmtId="49" fontId="104" fillId="0" borderId="4" xfId="0" applyNumberFormat="1" applyFont="1" applyBorder="1" applyAlignment="1" applyProtection="1">
      <alignment horizontal="center" vertical="center" wrapText="1"/>
      <protection locked="0"/>
    </xf>
    <xf numFmtId="166" fontId="104" fillId="0" borderId="4" xfId="0" applyNumberFormat="1" applyFont="1" applyBorder="1" applyAlignment="1" applyProtection="1">
      <alignment horizontal="right" vertical="center" wrapText="1"/>
      <protection locked="0"/>
    </xf>
    <xf numFmtId="166" fontId="104" fillId="0" borderId="17" xfId="0" applyNumberFormat="1" applyFont="1" applyBorder="1" applyAlignment="1">
      <alignment vertical="center" wrapText="1"/>
    </xf>
    <xf numFmtId="166" fontId="19" fillId="0" borderId="0" xfId="36" applyNumberFormat="1" applyFont="1" applyAlignment="1" applyProtection="1">
      <alignment vertical="center" wrapText="1"/>
      <protection locked="0"/>
    </xf>
    <xf numFmtId="166" fontId="66" fillId="0" borderId="20" xfId="21" applyNumberFormat="1" applyFont="1" applyBorder="1" applyAlignment="1">
      <alignment horizontal="right" vertical="center" wrapText="1" indent="1"/>
    </xf>
    <xf numFmtId="166" fontId="66" fillId="0" borderId="20" xfId="21" applyNumberFormat="1" applyFont="1" applyBorder="1" applyAlignment="1">
      <alignment horizontal="center" vertical="center" wrapText="1"/>
    </xf>
    <xf numFmtId="166" fontId="66" fillId="0" borderId="44" xfId="21" applyNumberFormat="1" applyFont="1" applyBorder="1" applyAlignment="1">
      <alignment horizontal="right" vertical="center" wrapText="1" indent="1"/>
    </xf>
    <xf numFmtId="166" fontId="66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Border="1" applyAlignment="1" applyProtection="1">
      <alignment horizontal="right" vertical="center" wrapText="1"/>
      <protection locked="0"/>
    </xf>
    <xf numFmtId="166" fontId="67" fillId="0" borderId="8" xfId="28" applyNumberFormat="1" applyFont="1" applyBorder="1" applyAlignment="1" applyProtection="1">
      <alignment vertical="center" wrapText="1"/>
      <protection locked="0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166" fontId="74" fillId="0" borderId="42" xfId="36" applyNumberFormat="1" applyFont="1" applyBorder="1" applyAlignment="1">
      <alignment horizontal="right" vertical="center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>
      <alignment horizontal="right" vertical="center"/>
    </xf>
    <xf numFmtId="166" fontId="6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Border="1" applyAlignment="1">
      <alignment horizontal="right" vertical="center" wrapText="1" indent="1"/>
    </xf>
    <xf numFmtId="166" fontId="6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6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7" fontId="127" fillId="0" borderId="17" xfId="26" applyNumberFormat="1" applyFont="1" applyFill="1" applyBorder="1" applyAlignment="1">
      <alignment vertical="center"/>
    </xf>
    <xf numFmtId="167" fontId="106" fillId="0" borderId="44" xfId="26" applyNumberFormat="1" applyFont="1" applyBorder="1"/>
    <xf numFmtId="170" fontId="74" fillId="0" borderId="46" xfId="19" applyNumberFormat="1" applyFont="1" applyBorder="1"/>
    <xf numFmtId="170" fontId="74" fillId="0" borderId="8" xfId="19" applyNumberFormat="1" applyFont="1" applyBorder="1"/>
    <xf numFmtId="170" fontId="74" fillId="0" borderId="54" xfId="19" applyNumberFormat="1" applyFont="1" applyBorder="1"/>
    <xf numFmtId="170" fontId="74" fillId="0" borderId="12" xfId="19" applyNumberFormat="1" applyFont="1" applyBorder="1"/>
    <xf numFmtId="170" fontId="74" fillId="0" borderId="15" xfId="19" applyNumberFormat="1" applyFont="1" applyBorder="1"/>
    <xf numFmtId="170" fontId="74" fillId="0" borderId="47" xfId="19" applyNumberFormat="1" applyFont="1" applyBorder="1"/>
    <xf numFmtId="170" fontId="74" fillId="0" borderId="11" xfId="19" applyNumberFormat="1" applyFont="1" applyBorder="1"/>
    <xf numFmtId="170" fontId="74" fillId="0" borderId="9" xfId="19" applyNumberFormat="1" applyFont="1" applyBorder="1"/>
    <xf numFmtId="170" fontId="74" fillId="0" borderId="25" xfId="19" applyNumberFormat="1" applyFont="1" applyBorder="1"/>
    <xf numFmtId="170" fontId="74" fillId="0" borderId="1" xfId="19" applyNumberFormat="1" applyFont="1" applyBorder="1"/>
    <xf numFmtId="0" fontId="100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2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0" fontId="118" fillId="0" borderId="59" xfId="0" applyFont="1" applyBorder="1" applyAlignment="1">
      <alignment horizontal="center" vertical="center" wrapText="1"/>
    </xf>
    <xf numFmtId="0" fontId="118" fillId="0" borderId="59" xfId="0" applyFont="1" applyBorder="1" applyAlignment="1">
      <alignment horizontal="center" vertical="center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38" fillId="0" borderId="52" xfId="36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 wrapText="1"/>
    </xf>
    <xf numFmtId="166" fontId="12" fillId="0" borderId="59" xfId="36" applyNumberFormat="1" applyFont="1" applyBorder="1" applyAlignment="1">
      <alignment horizontal="center" vertical="center" wrapText="1"/>
    </xf>
    <xf numFmtId="166" fontId="12" fillId="0" borderId="34" xfId="36" applyNumberFormat="1" applyFont="1" applyBorder="1" applyAlignment="1">
      <alignment horizontal="center" vertical="center" wrapText="1"/>
    </xf>
    <xf numFmtId="0" fontId="38" fillId="0" borderId="35" xfId="36" applyFont="1" applyBorder="1" applyAlignment="1">
      <alignment horizontal="center" vertical="center" wrapText="1"/>
    </xf>
    <xf numFmtId="0" fontId="38" fillId="0" borderId="44" xfId="36" applyFont="1" applyBorder="1" applyAlignment="1">
      <alignment horizontal="center" vertical="center" wrapText="1"/>
    </xf>
    <xf numFmtId="0" fontId="126" fillId="0" borderId="59" xfId="0" applyFont="1" applyBorder="1" applyAlignment="1">
      <alignment horizontal="center" vertical="center" wrapText="1"/>
    </xf>
    <xf numFmtId="0" fontId="126" fillId="0" borderId="59" xfId="0" applyFont="1" applyBorder="1" applyAlignment="1">
      <alignment horizontal="center" vertical="center"/>
    </xf>
    <xf numFmtId="0" fontId="9" fillId="0" borderId="52" xfId="36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17" fillId="0" borderId="59" xfId="0" applyFont="1" applyBorder="1" applyAlignment="1">
      <alignment horizontal="center" vertical="center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0" fontId="0" fillId="0" borderId="0" xfId="0" applyAlignment="1">
      <alignment horizontal="right"/>
    </xf>
    <xf numFmtId="0" fontId="31" fillId="0" borderId="0" xfId="36" applyFont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8" fillId="0" borderId="71" xfId="25" applyFont="1" applyBorder="1" applyAlignment="1">
      <alignment horizontal="center"/>
    </xf>
    <xf numFmtId="0" fontId="88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8" fillId="0" borderId="4" xfId="25" applyFont="1" applyBorder="1" applyAlignment="1">
      <alignment horizontal="center"/>
    </xf>
    <xf numFmtId="0" fontId="88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1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0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0" fillId="0" borderId="0" xfId="23" applyFont="1" applyAlignment="1">
      <alignment horizontal="center" wrapText="1"/>
    </xf>
    <xf numFmtId="0" fontId="100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0" fillId="0" borderId="35" xfId="18" applyFont="1" applyBorder="1" applyAlignment="1">
      <alignment horizontal="right" vertical="center"/>
    </xf>
    <xf numFmtId="0" fontId="110" fillId="0" borderId="33" xfId="18" applyFont="1" applyBorder="1" applyAlignment="1">
      <alignment horizontal="right" vertical="center"/>
    </xf>
    <xf numFmtId="0" fontId="115" fillId="0" borderId="0" xfId="52" applyFont="1" applyAlignment="1">
      <alignment horizontal="center" vertical="center"/>
    </xf>
    <xf numFmtId="0" fontId="9" fillId="0" borderId="0" xfId="18" applyFont="1" applyAlignment="1">
      <alignment horizontal="right"/>
    </xf>
    <xf numFmtId="3" fontId="0" fillId="0" borderId="0" xfId="21" applyNumberFormat="1" applyFont="1" applyAlignment="1">
      <alignment horizontal="right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04" fillId="0" borderId="0" xfId="19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5" fillId="0" borderId="43" xfId="19" applyFont="1" applyBorder="1" applyAlignment="1">
      <alignment horizontal="center"/>
    </xf>
    <xf numFmtId="0" fontId="85" fillId="0" borderId="0" xfId="19" applyFont="1" applyAlignment="1">
      <alignment horizontal="center"/>
    </xf>
    <xf numFmtId="0" fontId="85" fillId="0" borderId="48" xfId="19" applyFont="1" applyBorder="1" applyAlignment="1">
      <alignment horizontal="center"/>
    </xf>
    <xf numFmtId="0" fontId="39" fillId="0" borderId="60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14" sqref="F14"/>
    </sheetView>
  </sheetViews>
  <sheetFormatPr defaultRowHeight="13.2" x14ac:dyDescent="0.25"/>
  <cols>
    <col min="1" max="1" width="32" bestFit="1" customWidth="1"/>
    <col min="3" max="3" width="1.77734375" bestFit="1" customWidth="1"/>
    <col min="5" max="5" width="1.77734375" bestFit="1" customWidth="1"/>
    <col min="7" max="7" width="1.77734375" bestFit="1" customWidth="1"/>
    <col min="8" max="8" width="26.109375" customWidth="1"/>
  </cols>
  <sheetData>
    <row r="1" spans="1:10" ht="17.399999999999999" x14ac:dyDescent="0.3">
      <c r="A1" s="1276" t="s">
        <v>644</v>
      </c>
      <c r="B1" s="1276"/>
      <c r="C1" s="1276"/>
      <c r="D1" s="1276"/>
      <c r="E1" s="1276"/>
      <c r="F1" s="1276"/>
      <c r="G1" s="1276"/>
      <c r="H1" s="1276"/>
      <c r="I1" s="1276"/>
      <c r="J1" s="1276"/>
    </row>
    <row r="2" spans="1:10" x14ac:dyDescent="0.25">
      <c r="A2" s="574">
        <v>2024</v>
      </c>
      <c r="B2" s="574" t="s">
        <v>645</v>
      </c>
    </row>
    <row r="3" spans="1:10" ht="15.6" x14ac:dyDescent="0.3">
      <c r="A3" s="1277" t="s">
        <v>653</v>
      </c>
      <c r="B3" s="1277"/>
      <c r="C3" s="1277"/>
      <c r="D3" s="1277"/>
      <c r="E3" s="1277"/>
      <c r="F3" s="1277"/>
      <c r="G3" s="1277"/>
      <c r="H3" s="1277"/>
    </row>
    <row r="6" spans="1:10" ht="13.8" x14ac:dyDescent="0.25">
      <c r="A6" s="570" t="s">
        <v>646</v>
      </c>
    </row>
    <row r="7" spans="1:10" x14ac:dyDescent="0.25">
      <c r="A7" s="571" t="s">
        <v>647</v>
      </c>
      <c r="B7" s="572" t="s">
        <v>1008</v>
      </c>
      <c r="C7" s="569" t="s">
        <v>648</v>
      </c>
      <c r="D7" s="569" t="s">
        <v>1009</v>
      </c>
      <c r="E7" s="569" t="s">
        <v>649</v>
      </c>
      <c r="F7" s="572" t="s">
        <v>1069</v>
      </c>
      <c r="G7" s="569" t="s">
        <v>650</v>
      </c>
      <c r="H7" s="569" t="s">
        <v>710</v>
      </c>
      <c r="I7" s="569"/>
      <c r="J7" s="569"/>
    </row>
    <row r="11" spans="1:10" ht="13.8" x14ac:dyDescent="0.25">
      <c r="A11" s="573" t="s">
        <v>651</v>
      </c>
      <c r="B11" s="1278" t="s">
        <v>652</v>
      </c>
      <c r="C11" s="1278"/>
      <c r="D11" s="1278"/>
      <c r="E11" s="1278"/>
      <c r="F11" s="1278"/>
      <c r="G11" s="1278"/>
      <c r="H11" s="1278"/>
      <c r="I11" s="569"/>
      <c r="J11" s="569"/>
    </row>
    <row r="12" spans="1:10" ht="13.8" x14ac:dyDescent="0.25">
      <c r="A12" s="573" t="s">
        <v>654</v>
      </c>
    </row>
    <row r="13" spans="1:10" ht="13.8" x14ac:dyDescent="0.25">
      <c r="A13" s="573" t="s">
        <v>655</v>
      </c>
    </row>
    <row r="14" spans="1:10" ht="13.8" x14ac:dyDescent="0.25">
      <c r="A14" s="573" t="s">
        <v>656</v>
      </c>
    </row>
    <row r="15" spans="1:10" ht="13.8" x14ac:dyDescent="0.25">
      <c r="A15" s="573" t="s">
        <v>651</v>
      </c>
    </row>
    <row r="16" spans="1:10" ht="13.8" x14ac:dyDescent="0.25">
      <c r="A16" s="573" t="s">
        <v>651</v>
      </c>
    </row>
    <row r="17" spans="1:1" ht="13.8" x14ac:dyDescent="0.25">
      <c r="A17" s="573" t="s">
        <v>651</v>
      </c>
    </row>
    <row r="18" spans="1:1" ht="13.8" x14ac:dyDescent="0.25">
      <c r="A18" s="573" t="s">
        <v>651</v>
      </c>
    </row>
    <row r="19" spans="1:1" ht="13.8" x14ac:dyDescent="0.25">
      <c r="A19" s="573" t="s">
        <v>651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3"/>
  <sheetViews>
    <sheetView zoomScaleNormal="100" zoomScaleSheetLayoutView="85" workbookViewId="0">
      <selection activeCell="B21" sqref="B21"/>
    </sheetView>
  </sheetViews>
  <sheetFormatPr defaultRowHeight="13.8" x14ac:dyDescent="0.25"/>
  <cols>
    <col min="1" max="1" width="5.6640625" style="525" customWidth="1"/>
    <col min="2" max="2" width="41.109375" style="525" customWidth="1"/>
    <col min="3" max="3" width="17.6640625" style="525" customWidth="1"/>
    <col min="4" max="7" width="14" style="525" customWidth="1"/>
    <col min="8" max="8" width="16.6640625" style="525" customWidth="1"/>
    <col min="9" max="256" width="9.33203125" style="525"/>
    <col min="257" max="257" width="5.6640625" style="525" customWidth="1"/>
    <col min="258" max="258" width="41.109375" style="525" customWidth="1"/>
    <col min="259" max="259" width="17.6640625" style="525" customWidth="1"/>
    <col min="260" max="263" width="14" style="525" customWidth="1"/>
    <col min="264" max="264" width="16.6640625" style="525" customWidth="1"/>
    <col min="265" max="512" width="9.33203125" style="525"/>
    <col min="513" max="513" width="5.6640625" style="525" customWidth="1"/>
    <col min="514" max="514" width="41.109375" style="525" customWidth="1"/>
    <col min="515" max="515" width="17.6640625" style="525" customWidth="1"/>
    <col min="516" max="519" width="14" style="525" customWidth="1"/>
    <col min="520" max="520" width="16.6640625" style="525" customWidth="1"/>
    <col min="521" max="768" width="9.33203125" style="525"/>
    <col min="769" max="769" width="5.6640625" style="525" customWidth="1"/>
    <col min="770" max="770" width="41.109375" style="525" customWidth="1"/>
    <col min="771" max="771" width="17.6640625" style="525" customWidth="1"/>
    <col min="772" max="775" width="14" style="525" customWidth="1"/>
    <col min="776" max="776" width="16.6640625" style="525" customWidth="1"/>
    <col min="777" max="1024" width="9.33203125" style="525"/>
    <col min="1025" max="1025" width="5.6640625" style="525" customWidth="1"/>
    <col min="1026" max="1026" width="41.109375" style="525" customWidth="1"/>
    <col min="1027" max="1027" width="17.6640625" style="525" customWidth="1"/>
    <col min="1028" max="1031" width="14" style="525" customWidth="1"/>
    <col min="1032" max="1032" width="16.6640625" style="525" customWidth="1"/>
    <col min="1033" max="1280" width="9.33203125" style="525"/>
    <col min="1281" max="1281" width="5.6640625" style="525" customWidth="1"/>
    <col min="1282" max="1282" width="41.109375" style="525" customWidth="1"/>
    <col min="1283" max="1283" width="17.6640625" style="525" customWidth="1"/>
    <col min="1284" max="1287" width="14" style="525" customWidth="1"/>
    <col min="1288" max="1288" width="16.6640625" style="525" customWidth="1"/>
    <col min="1289" max="1536" width="9.33203125" style="525"/>
    <col min="1537" max="1537" width="5.6640625" style="525" customWidth="1"/>
    <col min="1538" max="1538" width="41.109375" style="525" customWidth="1"/>
    <col min="1539" max="1539" width="17.6640625" style="525" customWidth="1"/>
    <col min="1540" max="1543" width="14" style="525" customWidth="1"/>
    <col min="1544" max="1544" width="16.6640625" style="525" customWidth="1"/>
    <col min="1545" max="1792" width="9.33203125" style="525"/>
    <col min="1793" max="1793" width="5.6640625" style="525" customWidth="1"/>
    <col min="1794" max="1794" width="41.109375" style="525" customWidth="1"/>
    <col min="1795" max="1795" width="17.6640625" style="525" customWidth="1"/>
    <col min="1796" max="1799" width="14" style="525" customWidth="1"/>
    <col min="1800" max="1800" width="16.6640625" style="525" customWidth="1"/>
    <col min="1801" max="2048" width="9.33203125" style="525"/>
    <col min="2049" max="2049" width="5.6640625" style="525" customWidth="1"/>
    <col min="2050" max="2050" width="41.109375" style="525" customWidth="1"/>
    <col min="2051" max="2051" width="17.6640625" style="525" customWidth="1"/>
    <col min="2052" max="2055" width="14" style="525" customWidth="1"/>
    <col min="2056" max="2056" width="16.6640625" style="525" customWidth="1"/>
    <col min="2057" max="2304" width="9.33203125" style="525"/>
    <col min="2305" max="2305" width="5.6640625" style="525" customWidth="1"/>
    <col min="2306" max="2306" width="41.109375" style="525" customWidth="1"/>
    <col min="2307" max="2307" width="17.6640625" style="525" customWidth="1"/>
    <col min="2308" max="2311" width="14" style="525" customWidth="1"/>
    <col min="2312" max="2312" width="16.6640625" style="525" customWidth="1"/>
    <col min="2313" max="2560" width="9.33203125" style="525"/>
    <col min="2561" max="2561" width="5.6640625" style="525" customWidth="1"/>
    <col min="2562" max="2562" width="41.109375" style="525" customWidth="1"/>
    <col min="2563" max="2563" width="17.6640625" style="525" customWidth="1"/>
    <col min="2564" max="2567" width="14" style="525" customWidth="1"/>
    <col min="2568" max="2568" width="16.6640625" style="525" customWidth="1"/>
    <col min="2569" max="2816" width="9.33203125" style="525"/>
    <col min="2817" max="2817" width="5.6640625" style="525" customWidth="1"/>
    <col min="2818" max="2818" width="41.109375" style="525" customWidth="1"/>
    <col min="2819" max="2819" width="17.6640625" style="525" customWidth="1"/>
    <col min="2820" max="2823" width="14" style="525" customWidth="1"/>
    <col min="2824" max="2824" width="16.6640625" style="525" customWidth="1"/>
    <col min="2825" max="3072" width="9.33203125" style="525"/>
    <col min="3073" max="3073" width="5.6640625" style="525" customWidth="1"/>
    <col min="3074" max="3074" width="41.109375" style="525" customWidth="1"/>
    <col min="3075" max="3075" width="17.6640625" style="525" customWidth="1"/>
    <col min="3076" max="3079" width="14" style="525" customWidth="1"/>
    <col min="3080" max="3080" width="16.6640625" style="525" customWidth="1"/>
    <col min="3081" max="3328" width="9.33203125" style="525"/>
    <col min="3329" max="3329" width="5.6640625" style="525" customWidth="1"/>
    <col min="3330" max="3330" width="41.109375" style="525" customWidth="1"/>
    <col min="3331" max="3331" width="17.6640625" style="525" customWidth="1"/>
    <col min="3332" max="3335" width="14" style="525" customWidth="1"/>
    <col min="3336" max="3336" width="16.6640625" style="525" customWidth="1"/>
    <col min="3337" max="3584" width="9.33203125" style="525"/>
    <col min="3585" max="3585" width="5.6640625" style="525" customWidth="1"/>
    <col min="3586" max="3586" width="41.109375" style="525" customWidth="1"/>
    <col min="3587" max="3587" width="17.6640625" style="525" customWidth="1"/>
    <col min="3588" max="3591" width="14" style="525" customWidth="1"/>
    <col min="3592" max="3592" width="16.6640625" style="525" customWidth="1"/>
    <col min="3593" max="3840" width="9.33203125" style="525"/>
    <col min="3841" max="3841" width="5.6640625" style="525" customWidth="1"/>
    <col min="3842" max="3842" width="41.109375" style="525" customWidth="1"/>
    <col min="3843" max="3843" width="17.6640625" style="525" customWidth="1"/>
    <col min="3844" max="3847" width="14" style="525" customWidth="1"/>
    <col min="3848" max="3848" width="16.6640625" style="525" customWidth="1"/>
    <col min="3849" max="4096" width="9.33203125" style="525"/>
    <col min="4097" max="4097" width="5.6640625" style="525" customWidth="1"/>
    <col min="4098" max="4098" width="41.109375" style="525" customWidth="1"/>
    <col min="4099" max="4099" width="17.6640625" style="525" customWidth="1"/>
    <col min="4100" max="4103" width="14" style="525" customWidth="1"/>
    <col min="4104" max="4104" width="16.6640625" style="525" customWidth="1"/>
    <col min="4105" max="4352" width="9.33203125" style="525"/>
    <col min="4353" max="4353" width="5.6640625" style="525" customWidth="1"/>
    <col min="4354" max="4354" width="41.109375" style="525" customWidth="1"/>
    <col min="4355" max="4355" width="17.6640625" style="525" customWidth="1"/>
    <col min="4356" max="4359" width="14" style="525" customWidth="1"/>
    <col min="4360" max="4360" width="16.6640625" style="525" customWidth="1"/>
    <col min="4361" max="4608" width="9.33203125" style="525"/>
    <col min="4609" max="4609" width="5.6640625" style="525" customWidth="1"/>
    <col min="4610" max="4610" width="41.109375" style="525" customWidth="1"/>
    <col min="4611" max="4611" width="17.6640625" style="525" customWidth="1"/>
    <col min="4612" max="4615" width="14" style="525" customWidth="1"/>
    <col min="4616" max="4616" width="16.6640625" style="525" customWidth="1"/>
    <col min="4617" max="4864" width="9.33203125" style="525"/>
    <col min="4865" max="4865" width="5.6640625" style="525" customWidth="1"/>
    <col min="4866" max="4866" width="41.109375" style="525" customWidth="1"/>
    <col min="4867" max="4867" width="17.6640625" style="525" customWidth="1"/>
    <col min="4868" max="4871" width="14" style="525" customWidth="1"/>
    <col min="4872" max="4872" width="16.6640625" style="525" customWidth="1"/>
    <col min="4873" max="5120" width="9.33203125" style="525"/>
    <col min="5121" max="5121" width="5.6640625" style="525" customWidth="1"/>
    <col min="5122" max="5122" width="41.109375" style="525" customWidth="1"/>
    <col min="5123" max="5123" width="17.6640625" style="525" customWidth="1"/>
    <col min="5124" max="5127" width="14" style="525" customWidth="1"/>
    <col min="5128" max="5128" width="16.6640625" style="525" customWidth="1"/>
    <col min="5129" max="5376" width="9.33203125" style="525"/>
    <col min="5377" max="5377" width="5.6640625" style="525" customWidth="1"/>
    <col min="5378" max="5378" width="41.109375" style="525" customWidth="1"/>
    <col min="5379" max="5379" width="17.6640625" style="525" customWidth="1"/>
    <col min="5380" max="5383" width="14" style="525" customWidth="1"/>
    <col min="5384" max="5384" width="16.6640625" style="525" customWidth="1"/>
    <col min="5385" max="5632" width="9.33203125" style="525"/>
    <col min="5633" max="5633" width="5.6640625" style="525" customWidth="1"/>
    <col min="5634" max="5634" width="41.109375" style="525" customWidth="1"/>
    <col min="5635" max="5635" width="17.6640625" style="525" customWidth="1"/>
    <col min="5636" max="5639" width="14" style="525" customWidth="1"/>
    <col min="5640" max="5640" width="16.6640625" style="525" customWidth="1"/>
    <col min="5641" max="5888" width="9.33203125" style="525"/>
    <col min="5889" max="5889" width="5.6640625" style="525" customWidth="1"/>
    <col min="5890" max="5890" width="41.109375" style="525" customWidth="1"/>
    <col min="5891" max="5891" width="17.6640625" style="525" customWidth="1"/>
    <col min="5892" max="5895" width="14" style="525" customWidth="1"/>
    <col min="5896" max="5896" width="16.6640625" style="525" customWidth="1"/>
    <col min="5897" max="6144" width="9.33203125" style="525"/>
    <col min="6145" max="6145" width="5.6640625" style="525" customWidth="1"/>
    <col min="6146" max="6146" width="41.109375" style="525" customWidth="1"/>
    <col min="6147" max="6147" width="17.6640625" style="525" customWidth="1"/>
    <col min="6148" max="6151" width="14" style="525" customWidth="1"/>
    <col min="6152" max="6152" width="16.6640625" style="525" customWidth="1"/>
    <col min="6153" max="6400" width="9.33203125" style="525"/>
    <col min="6401" max="6401" width="5.6640625" style="525" customWidth="1"/>
    <col min="6402" max="6402" width="41.109375" style="525" customWidth="1"/>
    <col min="6403" max="6403" width="17.6640625" style="525" customWidth="1"/>
    <col min="6404" max="6407" width="14" style="525" customWidth="1"/>
    <col min="6408" max="6408" width="16.6640625" style="525" customWidth="1"/>
    <col min="6409" max="6656" width="9.33203125" style="525"/>
    <col min="6657" max="6657" width="5.6640625" style="525" customWidth="1"/>
    <col min="6658" max="6658" width="41.109375" style="525" customWidth="1"/>
    <col min="6659" max="6659" width="17.6640625" style="525" customWidth="1"/>
    <col min="6660" max="6663" width="14" style="525" customWidth="1"/>
    <col min="6664" max="6664" width="16.6640625" style="525" customWidth="1"/>
    <col min="6665" max="6912" width="9.33203125" style="525"/>
    <col min="6913" max="6913" width="5.6640625" style="525" customWidth="1"/>
    <col min="6914" max="6914" width="41.109375" style="525" customWidth="1"/>
    <col min="6915" max="6915" width="17.6640625" style="525" customWidth="1"/>
    <col min="6916" max="6919" width="14" style="525" customWidth="1"/>
    <col min="6920" max="6920" width="16.6640625" style="525" customWidth="1"/>
    <col min="6921" max="7168" width="9.33203125" style="525"/>
    <col min="7169" max="7169" width="5.6640625" style="525" customWidth="1"/>
    <col min="7170" max="7170" width="41.109375" style="525" customWidth="1"/>
    <col min="7171" max="7171" width="17.6640625" style="525" customWidth="1"/>
    <col min="7172" max="7175" width="14" style="525" customWidth="1"/>
    <col min="7176" max="7176" width="16.6640625" style="525" customWidth="1"/>
    <col min="7177" max="7424" width="9.33203125" style="525"/>
    <col min="7425" max="7425" width="5.6640625" style="525" customWidth="1"/>
    <col min="7426" max="7426" width="41.109375" style="525" customWidth="1"/>
    <col min="7427" max="7427" width="17.6640625" style="525" customWidth="1"/>
    <col min="7428" max="7431" width="14" style="525" customWidth="1"/>
    <col min="7432" max="7432" width="16.6640625" style="525" customWidth="1"/>
    <col min="7433" max="7680" width="9.33203125" style="525"/>
    <col min="7681" max="7681" width="5.6640625" style="525" customWidth="1"/>
    <col min="7682" max="7682" width="41.109375" style="525" customWidth="1"/>
    <col min="7683" max="7683" width="17.6640625" style="525" customWidth="1"/>
    <col min="7684" max="7687" width="14" style="525" customWidth="1"/>
    <col min="7688" max="7688" width="16.6640625" style="525" customWidth="1"/>
    <col min="7689" max="7936" width="9.33203125" style="525"/>
    <col min="7937" max="7937" width="5.6640625" style="525" customWidth="1"/>
    <col min="7938" max="7938" width="41.109375" style="525" customWidth="1"/>
    <col min="7939" max="7939" width="17.6640625" style="525" customWidth="1"/>
    <col min="7940" max="7943" width="14" style="525" customWidth="1"/>
    <col min="7944" max="7944" width="16.6640625" style="525" customWidth="1"/>
    <col min="7945" max="8192" width="9.33203125" style="525"/>
    <col min="8193" max="8193" width="5.6640625" style="525" customWidth="1"/>
    <col min="8194" max="8194" width="41.109375" style="525" customWidth="1"/>
    <col min="8195" max="8195" width="17.6640625" style="525" customWidth="1"/>
    <col min="8196" max="8199" width="14" style="525" customWidth="1"/>
    <col min="8200" max="8200" width="16.6640625" style="525" customWidth="1"/>
    <col min="8201" max="8448" width="9.33203125" style="525"/>
    <col min="8449" max="8449" width="5.6640625" style="525" customWidth="1"/>
    <col min="8450" max="8450" width="41.109375" style="525" customWidth="1"/>
    <col min="8451" max="8451" width="17.6640625" style="525" customWidth="1"/>
    <col min="8452" max="8455" width="14" style="525" customWidth="1"/>
    <col min="8456" max="8456" width="16.6640625" style="525" customWidth="1"/>
    <col min="8457" max="8704" width="9.33203125" style="525"/>
    <col min="8705" max="8705" width="5.6640625" style="525" customWidth="1"/>
    <col min="8706" max="8706" width="41.109375" style="525" customWidth="1"/>
    <col min="8707" max="8707" width="17.6640625" style="525" customWidth="1"/>
    <col min="8708" max="8711" width="14" style="525" customWidth="1"/>
    <col min="8712" max="8712" width="16.6640625" style="525" customWidth="1"/>
    <col min="8713" max="8960" width="9.33203125" style="525"/>
    <col min="8961" max="8961" width="5.6640625" style="525" customWidth="1"/>
    <col min="8962" max="8962" width="41.109375" style="525" customWidth="1"/>
    <col min="8963" max="8963" width="17.6640625" style="525" customWidth="1"/>
    <col min="8964" max="8967" width="14" style="525" customWidth="1"/>
    <col min="8968" max="8968" width="16.6640625" style="525" customWidth="1"/>
    <col min="8969" max="9216" width="9.33203125" style="525"/>
    <col min="9217" max="9217" width="5.6640625" style="525" customWidth="1"/>
    <col min="9218" max="9218" width="41.109375" style="525" customWidth="1"/>
    <col min="9219" max="9219" width="17.6640625" style="525" customWidth="1"/>
    <col min="9220" max="9223" width="14" style="525" customWidth="1"/>
    <col min="9224" max="9224" width="16.6640625" style="525" customWidth="1"/>
    <col min="9225" max="9472" width="9.33203125" style="525"/>
    <col min="9473" max="9473" width="5.6640625" style="525" customWidth="1"/>
    <col min="9474" max="9474" width="41.109375" style="525" customWidth="1"/>
    <col min="9475" max="9475" width="17.6640625" style="525" customWidth="1"/>
    <col min="9476" max="9479" width="14" style="525" customWidth="1"/>
    <col min="9480" max="9480" width="16.6640625" style="525" customWidth="1"/>
    <col min="9481" max="9728" width="9.33203125" style="525"/>
    <col min="9729" max="9729" width="5.6640625" style="525" customWidth="1"/>
    <col min="9730" max="9730" width="41.109375" style="525" customWidth="1"/>
    <col min="9731" max="9731" width="17.6640625" style="525" customWidth="1"/>
    <col min="9732" max="9735" width="14" style="525" customWidth="1"/>
    <col min="9736" max="9736" width="16.6640625" style="525" customWidth="1"/>
    <col min="9737" max="9984" width="9.33203125" style="525"/>
    <col min="9985" max="9985" width="5.6640625" style="525" customWidth="1"/>
    <col min="9986" max="9986" width="41.109375" style="525" customWidth="1"/>
    <col min="9987" max="9987" width="17.6640625" style="525" customWidth="1"/>
    <col min="9988" max="9991" width="14" style="525" customWidth="1"/>
    <col min="9992" max="9992" width="16.6640625" style="525" customWidth="1"/>
    <col min="9993" max="10240" width="9.33203125" style="525"/>
    <col min="10241" max="10241" width="5.6640625" style="525" customWidth="1"/>
    <col min="10242" max="10242" width="41.109375" style="525" customWidth="1"/>
    <col min="10243" max="10243" width="17.6640625" style="525" customWidth="1"/>
    <col min="10244" max="10247" width="14" style="525" customWidth="1"/>
    <col min="10248" max="10248" width="16.6640625" style="525" customWidth="1"/>
    <col min="10249" max="10496" width="9.33203125" style="525"/>
    <col min="10497" max="10497" width="5.6640625" style="525" customWidth="1"/>
    <col min="10498" max="10498" width="41.109375" style="525" customWidth="1"/>
    <col min="10499" max="10499" width="17.6640625" style="525" customWidth="1"/>
    <col min="10500" max="10503" width="14" style="525" customWidth="1"/>
    <col min="10504" max="10504" width="16.6640625" style="525" customWidth="1"/>
    <col min="10505" max="10752" width="9.33203125" style="525"/>
    <col min="10753" max="10753" width="5.6640625" style="525" customWidth="1"/>
    <col min="10754" max="10754" width="41.109375" style="525" customWidth="1"/>
    <col min="10755" max="10755" width="17.6640625" style="525" customWidth="1"/>
    <col min="10756" max="10759" width="14" style="525" customWidth="1"/>
    <col min="10760" max="10760" width="16.6640625" style="525" customWidth="1"/>
    <col min="10761" max="11008" width="9.33203125" style="525"/>
    <col min="11009" max="11009" width="5.6640625" style="525" customWidth="1"/>
    <col min="11010" max="11010" width="41.109375" style="525" customWidth="1"/>
    <col min="11011" max="11011" width="17.6640625" style="525" customWidth="1"/>
    <col min="11012" max="11015" width="14" style="525" customWidth="1"/>
    <col min="11016" max="11016" width="16.6640625" style="525" customWidth="1"/>
    <col min="11017" max="11264" width="9.33203125" style="525"/>
    <col min="11265" max="11265" width="5.6640625" style="525" customWidth="1"/>
    <col min="11266" max="11266" width="41.109375" style="525" customWidth="1"/>
    <col min="11267" max="11267" width="17.6640625" style="525" customWidth="1"/>
    <col min="11268" max="11271" width="14" style="525" customWidth="1"/>
    <col min="11272" max="11272" width="16.6640625" style="525" customWidth="1"/>
    <col min="11273" max="11520" width="9.33203125" style="525"/>
    <col min="11521" max="11521" width="5.6640625" style="525" customWidth="1"/>
    <col min="11522" max="11522" width="41.109375" style="525" customWidth="1"/>
    <col min="11523" max="11523" width="17.6640625" style="525" customWidth="1"/>
    <col min="11524" max="11527" width="14" style="525" customWidth="1"/>
    <col min="11528" max="11528" width="16.6640625" style="525" customWidth="1"/>
    <col min="11529" max="11776" width="9.33203125" style="525"/>
    <col min="11777" max="11777" width="5.6640625" style="525" customWidth="1"/>
    <col min="11778" max="11778" width="41.109375" style="525" customWidth="1"/>
    <col min="11779" max="11779" width="17.6640625" style="525" customWidth="1"/>
    <col min="11780" max="11783" width="14" style="525" customWidth="1"/>
    <col min="11784" max="11784" width="16.6640625" style="525" customWidth="1"/>
    <col min="11785" max="12032" width="9.33203125" style="525"/>
    <col min="12033" max="12033" width="5.6640625" style="525" customWidth="1"/>
    <col min="12034" max="12034" width="41.109375" style="525" customWidth="1"/>
    <col min="12035" max="12035" width="17.6640625" style="525" customWidth="1"/>
    <col min="12036" max="12039" width="14" style="525" customWidth="1"/>
    <col min="12040" max="12040" width="16.6640625" style="525" customWidth="1"/>
    <col min="12041" max="12288" width="9.33203125" style="525"/>
    <col min="12289" max="12289" width="5.6640625" style="525" customWidth="1"/>
    <col min="12290" max="12290" width="41.109375" style="525" customWidth="1"/>
    <col min="12291" max="12291" width="17.6640625" style="525" customWidth="1"/>
    <col min="12292" max="12295" width="14" style="525" customWidth="1"/>
    <col min="12296" max="12296" width="16.6640625" style="525" customWidth="1"/>
    <col min="12297" max="12544" width="9.33203125" style="525"/>
    <col min="12545" max="12545" width="5.6640625" style="525" customWidth="1"/>
    <col min="12546" max="12546" width="41.109375" style="525" customWidth="1"/>
    <col min="12547" max="12547" width="17.6640625" style="525" customWidth="1"/>
    <col min="12548" max="12551" width="14" style="525" customWidth="1"/>
    <col min="12552" max="12552" width="16.6640625" style="525" customWidth="1"/>
    <col min="12553" max="12800" width="9.33203125" style="525"/>
    <col min="12801" max="12801" width="5.6640625" style="525" customWidth="1"/>
    <col min="12802" max="12802" width="41.109375" style="525" customWidth="1"/>
    <col min="12803" max="12803" width="17.6640625" style="525" customWidth="1"/>
    <col min="12804" max="12807" width="14" style="525" customWidth="1"/>
    <col min="12808" max="12808" width="16.6640625" style="525" customWidth="1"/>
    <col min="12809" max="13056" width="9.33203125" style="525"/>
    <col min="13057" max="13057" width="5.6640625" style="525" customWidth="1"/>
    <col min="13058" max="13058" width="41.109375" style="525" customWidth="1"/>
    <col min="13059" max="13059" width="17.6640625" style="525" customWidth="1"/>
    <col min="13060" max="13063" width="14" style="525" customWidth="1"/>
    <col min="13064" max="13064" width="16.6640625" style="525" customWidth="1"/>
    <col min="13065" max="13312" width="9.33203125" style="525"/>
    <col min="13313" max="13313" width="5.6640625" style="525" customWidth="1"/>
    <col min="13314" max="13314" width="41.109375" style="525" customWidth="1"/>
    <col min="13315" max="13315" width="17.6640625" style="525" customWidth="1"/>
    <col min="13316" max="13319" width="14" style="525" customWidth="1"/>
    <col min="13320" max="13320" width="16.6640625" style="525" customWidth="1"/>
    <col min="13321" max="13568" width="9.33203125" style="525"/>
    <col min="13569" max="13569" width="5.6640625" style="525" customWidth="1"/>
    <col min="13570" max="13570" width="41.109375" style="525" customWidth="1"/>
    <col min="13571" max="13571" width="17.6640625" style="525" customWidth="1"/>
    <col min="13572" max="13575" width="14" style="525" customWidth="1"/>
    <col min="13576" max="13576" width="16.6640625" style="525" customWidth="1"/>
    <col min="13577" max="13824" width="9.33203125" style="525"/>
    <col min="13825" max="13825" width="5.6640625" style="525" customWidth="1"/>
    <col min="13826" max="13826" width="41.109375" style="525" customWidth="1"/>
    <col min="13827" max="13827" width="17.6640625" style="525" customWidth="1"/>
    <col min="13828" max="13831" width="14" style="525" customWidth="1"/>
    <col min="13832" max="13832" width="16.6640625" style="525" customWidth="1"/>
    <col min="13833" max="14080" width="9.33203125" style="525"/>
    <col min="14081" max="14081" width="5.6640625" style="525" customWidth="1"/>
    <col min="14082" max="14082" width="41.109375" style="525" customWidth="1"/>
    <col min="14083" max="14083" width="17.6640625" style="525" customWidth="1"/>
    <col min="14084" max="14087" width="14" style="525" customWidth="1"/>
    <col min="14088" max="14088" width="16.6640625" style="525" customWidth="1"/>
    <col min="14089" max="14336" width="9.33203125" style="525"/>
    <col min="14337" max="14337" width="5.6640625" style="525" customWidth="1"/>
    <col min="14338" max="14338" width="41.109375" style="525" customWidth="1"/>
    <col min="14339" max="14339" width="17.6640625" style="525" customWidth="1"/>
    <col min="14340" max="14343" width="14" style="525" customWidth="1"/>
    <col min="14344" max="14344" width="16.6640625" style="525" customWidth="1"/>
    <col min="14345" max="14592" width="9.33203125" style="525"/>
    <col min="14593" max="14593" width="5.6640625" style="525" customWidth="1"/>
    <col min="14594" max="14594" width="41.109375" style="525" customWidth="1"/>
    <col min="14595" max="14595" width="17.6640625" style="525" customWidth="1"/>
    <col min="14596" max="14599" width="14" style="525" customWidth="1"/>
    <col min="14600" max="14600" width="16.6640625" style="525" customWidth="1"/>
    <col min="14601" max="14848" width="9.33203125" style="525"/>
    <col min="14849" max="14849" width="5.6640625" style="525" customWidth="1"/>
    <col min="14850" max="14850" width="41.109375" style="525" customWidth="1"/>
    <col min="14851" max="14851" width="17.6640625" style="525" customWidth="1"/>
    <col min="14852" max="14855" width="14" style="525" customWidth="1"/>
    <col min="14856" max="14856" width="16.6640625" style="525" customWidth="1"/>
    <col min="14857" max="15104" width="9.33203125" style="525"/>
    <col min="15105" max="15105" width="5.6640625" style="525" customWidth="1"/>
    <col min="15106" max="15106" width="41.109375" style="525" customWidth="1"/>
    <col min="15107" max="15107" width="17.6640625" style="525" customWidth="1"/>
    <col min="15108" max="15111" width="14" style="525" customWidth="1"/>
    <col min="15112" max="15112" width="16.6640625" style="525" customWidth="1"/>
    <col min="15113" max="15360" width="9.33203125" style="525"/>
    <col min="15361" max="15361" width="5.6640625" style="525" customWidth="1"/>
    <col min="15362" max="15362" width="41.109375" style="525" customWidth="1"/>
    <col min="15363" max="15363" width="17.6640625" style="525" customWidth="1"/>
    <col min="15364" max="15367" width="14" style="525" customWidth="1"/>
    <col min="15368" max="15368" width="16.6640625" style="525" customWidth="1"/>
    <col min="15369" max="15616" width="9.33203125" style="525"/>
    <col min="15617" max="15617" width="5.6640625" style="525" customWidth="1"/>
    <col min="15618" max="15618" width="41.109375" style="525" customWidth="1"/>
    <col min="15619" max="15619" width="17.6640625" style="525" customWidth="1"/>
    <col min="15620" max="15623" width="14" style="525" customWidth="1"/>
    <col min="15624" max="15624" width="16.6640625" style="525" customWidth="1"/>
    <col min="15625" max="15872" width="9.33203125" style="525"/>
    <col min="15873" max="15873" width="5.6640625" style="525" customWidth="1"/>
    <col min="15874" max="15874" width="41.109375" style="525" customWidth="1"/>
    <col min="15875" max="15875" width="17.6640625" style="525" customWidth="1"/>
    <col min="15876" max="15879" width="14" style="525" customWidth="1"/>
    <col min="15880" max="15880" width="16.6640625" style="525" customWidth="1"/>
    <col min="15881" max="16128" width="9.33203125" style="525"/>
    <col min="16129" max="16129" width="5.6640625" style="525" customWidth="1"/>
    <col min="16130" max="16130" width="41.109375" style="525" customWidth="1"/>
    <col min="16131" max="16131" width="17.6640625" style="525" customWidth="1"/>
    <col min="16132" max="16135" width="14" style="525" customWidth="1"/>
    <col min="16136" max="16136" width="16.6640625" style="525" customWidth="1"/>
    <col min="16137" max="16384" width="9.33203125" style="525"/>
  </cols>
  <sheetData>
    <row r="1" spans="1:11" x14ac:dyDescent="0.25">
      <c r="A1" s="1292" t="str">
        <f>CONCATENATE("8. melléklet ",ALAPADATOK!A7," ",ALAPADATOK!B7," ",ALAPADATOK!C7," ",ALAPADATOK!D7," ",ALAPADATOK!E7," ",ALAPADATOK!F7," ",ALAPADATOK!G7," ",ALAPADATOK!H7)</f>
        <v>8. melléklet a …. / 2024. ( .... ) önkormányzati rendelethez</v>
      </c>
      <c r="B1" s="1292"/>
      <c r="C1" s="1292"/>
      <c r="D1" s="1292"/>
      <c r="E1" s="1292"/>
      <c r="F1" s="1292"/>
      <c r="G1" s="1292"/>
      <c r="H1" s="1292"/>
    </row>
    <row r="3" spans="1:11" x14ac:dyDescent="0.25">
      <c r="A3" s="1293" t="s">
        <v>380</v>
      </c>
      <c r="B3" s="1293"/>
      <c r="C3" s="1293"/>
      <c r="D3" s="1293"/>
      <c r="E3" s="1293"/>
      <c r="F3" s="1293"/>
      <c r="G3" s="1293"/>
      <c r="H3" s="1293"/>
    </row>
    <row r="4" spans="1:11" ht="15" thickBot="1" x14ac:dyDescent="0.35">
      <c r="A4" s="584"/>
      <c r="B4" s="585"/>
      <c r="C4" s="585"/>
      <c r="D4" s="1294"/>
      <c r="E4" s="1294"/>
      <c r="F4" s="1294"/>
      <c r="G4" s="1295" t="s">
        <v>491</v>
      </c>
      <c r="H4" s="1295"/>
      <c r="I4" s="646"/>
    </row>
    <row r="5" spans="1:11" ht="26.4" x14ac:dyDescent="0.25">
      <c r="A5" s="1296" t="s">
        <v>14</v>
      </c>
      <c r="B5" s="1298" t="s">
        <v>147</v>
      </c>
      <c r="C5" s="586" t="s">
        <v>1036</v>
      </c>
      <c r="D5" s="1298" t="s">
        <v>178</v>
      </c>
      <c r="E5" s="1298"/>
      <c r="F5" s="1298"/>
      <c r="G5" s="1298"/>
      <c r="H5" s="1300" t="s">
        <v>493</v>
      </c>
    </row>
    <row r="6" spans="1:11" ht="14.4" thickBot="1" x14ac:dyDescent="0.3">
      <c r="A6" s="1297"/>
      <c r="B6" s="1299"/>
      <c r="C6" s="691"/>
      <c r="D6" s="691">
        <v>2024</v>
      </c>
      <c r="E6" s="691">
        <v>2025</v>
      </c>
      <c r="F6" s="691">
        <v>2026</v>
      </c>
      <c r="G6" s="691">
        <v>2027</v>
      </c>
      <c r="H6" s="1301"/>
    </row>
    <row r="7" spans="1:11" ht="14.4" thickBot="1" x14ac:dyDescent="0.3">
      <c r="A7" s="587" t="s">
        <v>16</v>
      </c>
      <c r="B7" s="588">
        <v>2</v>
      </c>
      <c r="C7" s="589">
        <v>3</v>
      </c>
      <c r="D7" s="589">
        <v>4</v>
      </c>
      <c r="E7" s="589">
        <v>5</v>
      </c>
      <c r="F7" s="589">
        <v>6</v>
      </c>
      <c r="G7" s="590">
        <v>7</v>
      </c>
      <c r="H7" s="590">
        <v>8</v>
      </c>
    </row>
    <row r="8" spans="1:11" x14ac:dyDescent="0.25">
      <c r="A8" s="591" t="s">
        <v>16</v>
      </c>
      <c r="B8" s="592" t="s">
        <v>722</v>
      </c>
      <c r="C8" s="1010">
        <v>0</v>
      </c>
      <c r="D8" s="1011">
        <v>0</v>
      </c>
      <c r="E8" s="1011">
        <v>0</v>
      </c>
      <c r="F8" s="1011">
        <v>0</v>
      </c>
      <c r="G8" s="1011">
        <v>0</v>
      </c>
      <c r="H8" s="1012">
        <f t="shared" ref="H8:H17" si="0">SUM(D8:G8)</f>
        <v>0</v>
      </c>
    </row>
    <row r="9" spans="1:11" ht="26.4" x14ac:dyDescent="0.25">
      <c r="A9" s="591" t="s">
        <v>17</v>
      </c>
      <c r="B9" s="592" t="s">
        <v>497</v>
      </c>
      <c r="C9" s="1010">
        <v>1839000</v>
      </c>
      <c r="D9" s="1013">
        <v>1839000</v>
      </c>
      <c r="E9" s="1013">
        <v>0</v>
      </c>
      <c r="F9" s="1011">
        <v>0</v>
      </c>
      <c r="G9" s="1011">
        <v>0</v>
      </c>
      <c r="H9" s="1012">
        <f t="shared" si="0"/>
        <v>1839000</v>
      </c>
      <c r="I9" s="593"/>
      <c r="J9" s="594"/>
      <c r="K9" s="595"/>
    </row>
    <row r="10" spans="1:11" ht="26.4" customHeight="1" x14ac:dyDescent="0.25">
      <c r="A10" s="591" t="s">
        <v>18</v>
      </c>
      <c r="B10" s="596" t="s">
        <v>494</v>
      </c>
      <c r="C10" s="1014">
        <v>17636155</v>
      </c>
      <c r="D10" s="1011">
        <v>4940000</v>
      </c>
      <c r="E10" s="1011">
        <v>4940000</v>
      </c>
      <c r="F10" s="1011">
        <v>4940000</v>
      </c>
      <c r="G10" s="1011">
        <v>2816155</v>
      </c>
      <c r="H10" s="1012">
        <f t="shared" si="0"/>
        <v>17636155</v>
      </c>
    </row>
    <row r="11" spans="1:11" ht="27.75" customHeight="1" x14ac:dyDescent="0.25">
      <c r="A11" s="591" t="s">
        <v>19</v>
      </c>
      <c r="B11" s="596" t="s">
        <v>567</v>
      </c>
      <c r="C11" s="1010">
        <f>3539250-1834504</f>
        <v>1704746</v>
      </c>
      <c r="D11" s="1011">
        <v>1704746</v>
      </c>
      <c r="E11" s="1011">
        <v>0</v>
      </c>
      <c r="F11" s="1011">
        <v>0</v>
      </c>
      <c r="G11" s="1011">
        <v>0</v>
      </c>
      <c r="H11" s="1012">
        <f>SUM(D11:G11)</f>
        <v>1704746</v>
      </c>
    </row>
    <row r="12" spans="1:11" ht="26.4" x14ac:dyDescent="0.25">
      <c r="A12" s="591" t="s">
        <v>21</v>
      </c>
      <c r="B12" s="596" t="s">
        <v>566</v>
      </c>
      <c r="C12" s="1010">
        <f>4057526-1668000</f>
        <v>2389526</v>
      </c>
      <c r="D12" s="1011">
        <v>1668000</v>
      </c>
      <c r="E12" s="1011">
        <v>721526</v>
      </c>
      <c r="F12" s="1011">
        <v>0</v>
      </c>
      <c r="G12" s="1011">
        <v>0</v>
      </c>
      <c r="H12" s="1012">
        <f t="shared" si="0"/>
        <v>2389526</v>
      </c>
    </row>
    <row r="13" spans="1:11" ht="27" customHeight="1" x14ac:dyDescent="0.25">
      <c r="A13" s="591" t="s">
        <v>22</v>
      </c>
      <c r="B13" s="596" t="s">
        <v>568</v>
      </c>
      <c r="C13" s="1010">
        <f>16667200-2777600</f>
        <v>13889600</v>
      </c>
      <c r="D13" s="1011">
        <v>2777600</v>
      </c>
      <c r="E13" s="1011">
        <v>2777600</v>
      </c>
      <c r="F13" s="1011">
        <v>2777600</v>
      </c>
      <c r="G13" s="1011">
        <v>2777600</v>
      </c>
      <c r="H13" s="1012">
        <f t="shared" si="0"/>
        <v>11110400</v>
      </c>
    </row>
    <row r="14" spans="1:11" ht="26.4" customHeight="1" x14ac:dyDescent="0.25">
      <c r="A14" s="591" t="s">
        <v>23</v>
      </c>
      <c r="B14" s="596" t="s">
        <v>569</v>
      </c>
      <c r="C14" s="1010">
        <f>1469644-1016000</f>
        <v>453644</v>
      </c>
      <c r="D14" s="1011">
        <v>453644</v>
      </c>
      <c r="E14" s="1011"/>
      <c r="F14" s="1011">
        <v>0</v>
      </c>
      <c r="G14" s="1011">
        <v>0</v>
      </c>
      <c r="H14" s="1012">
        <f t="shared" si="0"/>
        <v>453644</v>
      </c>
    </row>
    <row r="15" spans="1:11" ht="26.4" x14ac:dyDescent="0.25">
      <c r="A15" s="591" t="s">
        <v>24</v>
      </c>
      <c r="B15" s="596" t="s">
        <v>570</v>
      </c>
      <c r="C15" s="1010">
        <f>9209597-3600000</f>
        <v>5609597</v>
      </c>
      <c r="D15" s="1011">
        <v>3600000</v>
      </c>
      <c r="E15" s="1011">
        <v>2009597</v>
      </c>
      <c r="F15" s="1011">
        <v>0</v>
      </c>
      <c r="G15" s="1011">
        <v>0</v>
      </c>
      <c r="H15" s="1012">
        <f t="shared" si="0"/>
        <v>5609597</v>
      </c>
    </row>
    <row r="16" spans="1:11" x14ac:dyDescent="0.25">
      <c r="A16" s="591" t="s">
        <v>25</v>
      </c>
      <c r="B16" s="798" t="s">
        <v>819</v>
      </c>
      <c r="C16" s="1015">
        <f>9202041-2300740</f>
        <v>6901301</v>
      </c>
      <c r="D16" s="699">
        <v>2300740</v>
      </c>
      <c r="E16" s="699">
        <v>2300740</v>
      </c>
      <c r="F16" s="699">
        <v>2299821</v>
      </c>
      <c r="G16" s="1016">
        <v>0</v>
      </c>
      <c r="H16" s="1012">
        <f t="shared" si="0"/>
        <v>6901301</v>
      </c>
    </row>
    <row r="17" spans="1:8" x14ac:dyDescent="0.25">
      <c r="A17" s="693" t="s">
        <v>26</v>
      </c>
      <c r="B17" s="700" t="s">
        <v>820</v>
      </c>
      <c r="C17" s="1015">
        <v>7058824</v>
      </c>
      <c r="D17" s="699">
        <v>1568600</v>
      </c>
      <c r="E17" s="699">
        <v>1568600</v>
      </c>
      <c r="F17" s="699">
        <v>1568600</v>
      </c>
      <c r="G17" s="1016">
        <v>1568600</v>
      </c>
      <c r="H17" s="1017">
        <f t="shared" si="0"/>
        <v>6274400</v>
      </c>
    </row>
    <row r="18" spans="1:8" ht="21" thickBot="1" x14ac:dyDescent="0.3">
      <c r="A18" s="917" t="s">
        <v>27</v>
      </c>
      <c r="B18" s="918" t="s">
        <v>881</v>
      </c>
      <c r="C18" s="1015">
        <v>110297740</v>
      </c>
      <c r="D18" s="699">
        <v>12250000</v>
      </c>
      <c r="E18" s="699">
        <v>12250000</v>
      </c>
      <c r="F18" s="699">
        <v>12250000</v>
      </c>
      <c r="G18" s="1016">
        <v>12250000</v>
      </c>
      <c r="H18" s="1017">
        <f>SUM(D18:G18)</f>
        <v>49000000</v>
      </c>
    </row>
    <row r="19" spans="1:8" ht="24" customHeight="1" thickBot="1" x14ac:dyDescent="0.3">
      <c r="A19" s="587"/>
      <c r="B19" s="597" t="s">
        <v>148</v>
      </c>
      <c r="C19" s="598">
        <f t="shared" ref="C19:H19" si="1">SUM(C8:C18)</f>
        <v>167780133</v>
      </c>
      <c r="D19" s="598">
        <f t="shared" si="1"/>
        <v>33102330</v>
      </c>
      <c r="E19" s="598">
        <f t="shared" si="1"/>
        <v>26568063</v>
      </c>
      <c r="F19" s="598">
        <f t="shared" si="1"/>
        <v>23836021</v>
      </c>
      <c r="G19" s="598">
        <f t="shared" si="1"/>
        <v>19412355</v>
      </c>
      <c r="H19" s="600">
        <f t="shared" si="1"/>
        <v>102918769</v>
      </c>
    </row>
    <row r="21" spans="1:8" x14ac:dyDescent="0.25">
      <c r="B21" s="316" t="s">
        <v>571</v>
      </c>
    </row>
    <row r="23" spans="1:8" x14ac:dyDescent="0.25">
      <c r="B23" s="59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45" zoomScaleNormal="145" zoomScaleSheetLayoutView="115" zoomScalePageLayoutView="115" workbookViewId="0">
      <selection activeCell="A2" sqref="A2"/>
    </sheetView>
  </sheetViews>
  <sheetFormatPr defaultColWidth="9.33203125" defaultRowHeight="13.8" x14ac:dyDescent="0.25"/>
  <cols>
    <col min="1" max="1" width="5.6640625" style="525" customWidth="1"/>
    <col min="2" max="2" width="68.6640625" style="525" customWidth="1"/>
    <col min="3" max="3" width="19.44140625" style="525" customWidth="1"/>
    <col min="4" max="4" width="11.33203125" style="525" customWidth="1"/>
    <col min="5" max="16384" width="9.33203125" style="525"/>
  </cols>
  <sheetData>
    <row r="1" spans="1:4" x14ac:dyDescent="0.25">
      <c r="A1" s="1292" t="str">
        <f>CONCATENATE("7. melléklet ",ALAPADATOK!A7," ",ALAPADATOK!B7," ",ALAPADATOK!C7," ",ALAPADATOK!D7," ",ALAPADATOK!E7," ",ALAPADATOK!F7," ",ALAPADATOK!G7," ",ALAPADATOK!H7)</f>
        <v>7. melléklet a …. / 2024. ( .... ) önkormányzati rendelethez</v>
      </c>
      <c r="B1" s="1292"/>
      <c r="C1" s="1292"/>
    </row>
    <row r="3" spans="1:4" ht="33" customHeight="1" x14ac:dyDescent="0.25">
      <c r="A3" s="1293" t="s">
        <v>503</v>
      </c>
      <c r="B3" s="1293"/>
      <c r="C3" s="1293"/>
    </row>
    <row r="4" spans="1:4" ht="15.9" customHeight="1" thickBot="1" x14ac:dyDescent="0.35">
      <c r="A4" s="584"/>
      <c r="B4" s="584"/>
      <c r="C4" s="63" t="s">
        <v>484</v>
      </c>
      <c r="D4" s="406"/>
    </row>
    <row r="5" spans="1:4" ht="26.4" customHeight="1" thickBot="1" x14ac:dyDescent="0.3">
      <c r="A5" s="64" t="s">
        <v>14</v>
      </c>
      <c r="B5" s="65" t="s">
        <v>504</v>
      </c>
      <c r="C5" s="66" t="s">
        <v>1010</v>
      </c>
    </row>
    <row r="6" spans="1:4" ht="14.4" thickBot="1" x14ac:dyDescent="0.3">
      <c r="A6" s="407">
        <v>1</v>
      </c>
      <c r="B6" s="408">
        <v>2</v>
      </c>
      <c r="C6" s="409">
        <v>3</v>
      </c>
    </row>
    <row r="7" spans="1:4" x14ac:dyDescent="0.25">
      <c r="A7" s="67" t="s">
        <v>16</v>
      </c>
      <c r="B7" s="750" t="s">
        <v>699</v>
      </c>
      <c r="C7" s="1118">
        <f>712000000+18876479</f>
        <v>730876479</v>
      </c>
    </row>
    <row r="8" spans="1:4" ht="24" x14ac:dyDescent="0.25">
      <c r="A8" s="68" t="s">
        <v>17</v>
      </c>
      <c r="B8" s="410" t="s">
        <v>505</v>
      </c>
      <c r="C8" s="411">
        <v>3395000</v>
      </c>
    </row>
    <row r="9" spans="1:4" x14ac:dyDescent="0.25">
      <c r="A9" s="68" t="s">
        <v>18</v>
      </c>
      <c r="B9" s="412" t="s">
        <v>506</v>
      </c>
      <c r="C9" s="411"/>
    </row>
    <row r="10" spans="1:4" ht="24" x14ac:dyDescent="0.25">
      <c r="A10" s="68" t="s">
        <v>19</v>
      </c>
      <c r="B10" s="412" t="s">
        <v>507</v>
      </c>
      <c r="C10" s="411">
        <v>20000000</v>
      </c>
    </row>
    <row r="11" spans="1:4" x14ac:dyDescent="0.25">
      <c r="A11" s="68" t="s">
        <v>20</v>
      </c>
      <c r="B11" s="412" t="s">
        <v>563</v>
      </c>
      <c r="C11" s="751">
        <v>22800000</v>
      </c>
    </row>
    <row r="12" spans="1:4" ht="14.4" thickBot="1" x14ac:dyDescent="0.3">
      <c r="A12" s="413" t="s">
        <v>21</v>
      </c>
      <c r="B12" s="414" t="s">
        <v>508</v>
      </c>
      <c r="C12" s="415">
        <v>50000</v>
      </c>
    </row>
    <row r="13" spans="1:4" ht="14.4" thickBot="1" x14ac:dyDescent="0.3">
      <c r="A13" s="1302" t="s">
        <v>509</v>
      </c>
      <c r="B13" s="1303"/>
      <c r="C13" s="416">
        <f>SUM(C7:C12)</f>
        <v>777121479</v>
      </c>
    </row>
    <row r="14" spans="1:4" ht="23.25" customHeight="1" x14ac:dyDescent="0.25">
      <c r="A14" s="1304" t="s">
        <v>510</v>
      </c>
      <c r="B14" s="1304"/>
      <c r="C14" s="1304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B12" sqref="B12"/>
    </sheetView>
  </sheetViews>
  <sheetFormatPr defaultColWidth="9.33203125" defaultRowHeight="13.8" x14ac:dyDescent="0.25"/>
  <cols>
    <col min="1" max="1" width="5.6640625" style="525" customWidth="1"/>
    <col min="2" max="2" width="66.77734375" style="525" customWidth="1"/>
    <col min="3" max="3" width="27" style="525" customWidth="1"/>
    <col min="4" max="16384" width="9.33203125" style="525"/>
  </cols>
  <sheetData>
    <row r="1" spans="1:5" x14ac:dyDescent="0.25">
      <c r="A1" s="1292" t="str">
        <f>CONCATENATE("10. melléklet ",ALAPADATOK!A7," ",ALAPADATOK!B7," ",ALAPADATOK!C7," ",ALAPADATOK!D7," ",ALAPADATOK!E7," ",ALAPADATOK!F7," ",ALAPADATOK!G7," ",ALAPADATOK!H7)</f>
        <v>10. melléklet a …. / 2024. ( .... ) önkormányzati rendelethez</v>
      </c>
      <c r="B1" s="1292"/>
      <c r="C1" s="1292"/>
    </row>
    <row r="3" spans="1:5" ht="33" customHeight="1" x14ac:dyDescent="0.25">
      <c r="A3" s="1293" t="s">
        <v>1014</v>
      </c>
      <c r="B3" s="1293"/>
      <c r="C3" s="1293"/>
    </row>
    <row r="4" spans="1:5" ht="15.9" customHeight="1" thickBot="1" x14ac:dyDescent="0.35">
      <c r="A4" s="584"/>
      <c r="B4" s="1117" t="s">
        <v>972</v>
      </c>
      <c r="C4" s="63" t="s">
        <v>484</v>
      </c>
      <c r="D4" s="62"/>
    </row>
    <row r="5" spans="1:5" ht="26.4" customHeight="1" thickBot="1" x14ac:dyDescent="0.3">
      <c r="A5" s="478" t="s">
        <v>14</v>
      </c>
      <c r="B5" s="479" t="s">
        <v>149</v>
      </c>
      <c r="C5" s="480" t="s">
        <v>154</v>
      </c>
    </row>
    <row r="6" spans="1:5" ht="14.4" thickBot="1" x14ac:dyDescent="0.3">
      <c r="A6" s="481">
        <v>1</v>
      </c>
      <c r="B6" s="482">
        <v>2</v>
      </c>
      <c r="C6" s="483">
        <v>3</v>
      </c>
    </row>
    <row r="7" spans="1:5" x14ac:dyDescent="0.25">
      <c r="A7" s="67" t="s">
        <v>16</v>
      </c>
      <c r="B7" s="700"/>
      <c r="C7" s="1041"/>
      <c r="D7" s="794"/>
      <c r="E7" s="794"/>
    </row>
    <row r="8" spans="1:5" x14ac:dyDescent="0.25">
      <c r="A8" s="68" t="s">
        <v>17</v>
      </c>
      <c r="B8" s="919"/>
      <c r="C8" s="1041"/>
    </row>
    <row r="9" spans="1:5" x14ac:dyDescent="0.25">
      <c r="A9" s="522" t="s">
        <v>18</v>
      </c>
      <c r="B9" s="700"/>
      <c r="C9" s="795"/>
    </row>
    <row r="10" spans="1:5" x14ac:dyDescent="0.25">
      <c r="A10" s="68" t="s">
        <v>19</v>
      </c>
      <c r="B10" s="700"/>
      <c r="C10" s="695"/>
    </row>
    <row r="11" spans="1:5" x14ac:dyDescent="0.25">
      <c r="A11" s="68" t="s">
        <v>20</v>
      </c>
      <c r="B11" s="694"/>
      <c r="C11" s="696"/>
    </row>
    <row r="12" spans="1:5" x14ac:dyDescent="0.25">
      <c r="A12" s="522" t="s">
        <v>21</v>
      </c>
      <c r="B12" s="484"/>
      <c r="C12" s="486"/>
    </row>
    <row r="13" spans="1:5" x14ac:dyDescent="0.25">
      <c r="A13" s="522" t="s">
        <v>22</v>
      </c>
      <c r="B13" s="485"/>
      <c r="C13" s="487"/>
    </row>
    <row r="14" spans="1:5" x14ac:dyDescent="0.25">
      <c r="A14" s="522" t="s">
        <v>23</v>
      </c>
      <c r="B14" s="488"/>
      <c r="C14" s="487"/>
    </row>
    <row r="15" spans="1:5" s="490" customFormat="1" ht="14.4" thickBot="1" x14ac:dyDescent="0.3">
      <c r="A15" s="522" t="s">
        <v>24</v>
      </c>
      <c r="B15" s="489"/>
      <c r="C15" s="486"/>
    </row>
    <row r="16" spans="1:5" s="490" customFormat="1" ht="17.399999999999999" customHeight="1" thickBot="1" x14ac:dyDescent="0.3">
      <c r="A16" s="491" t="s">
        <v>25</v>
      </c>
      <c r="B16" s="492" t="s">
        <v>150</v>
      </c>
      <c r="C16" s="493">
        <f>SUM(C7:C15)</f>
        <v>0</v>
      </c>
    </row>
    <row r="18" spans="2:2" x14ac:dyDescent="0.25">
      <c r="B18" s="178" t="s">
        <v>700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49"/>
  <sheetViews>
    <sheetView zoomScaleSheetLayoutView="100" workbookViewId="0">
      <selection activeCell="A2" sqref="A2"/>
    </sheetView>
  </sheetViews>
  <sheetFormatPr defaultColWidth="9.33203125" defaultRowHeight="13.2" x14ac:dyDescent="0.25"/>
  <cols>
    <col min="1" max="1" width="61.33203125" style="405" customWidth="1"/>
    <col min="2" max="2" width="15.6640625" style="400" customWidth="1"/>
    <col min="3" max="3" width="16.33203125" style="400" customWidth="1"/>
    <col min="4" max="5" width="18" style="400" customWidth="1"/>
    <col min="6" max="6" width="16.6640625" style="400" customWidth="1"/>
    <col min="7" max="7" width="18.77734375" style="400" customWidth="1"/>
    <col min="8" max="9" width="12.77734375" style="31" customWidth="1"/>
    <col min="10" max="10" width="13.77734375" style="31" customWidth="1"/>
    <col min="11" max="11" width="12.6640625" style="31" bestFit="1" customWidth="1"/>
    <col min="12" max="12" width="12.6640625" style="31" customWidth="1"/>
    <col min="13" max="13" width="11.109375" style="31" bestFit="1" customWidth="1"/>
    <col min="14" max="16384" width="9.33203125" style="31"/>
  </cols>
  <sheetData>
    <row r="1" spans="1:8" x14ac:dyDescent="0.25">
      <c r="A1" s="1305" t="str">
        <f>CONCATENATE("8. melléklet"," ",ALAPADATOK!A7," ",ALAPADATOK!B7," ",ALAPADATOK!C7," ",ALAPADATOK!D7," ",ALAPADATOK!E7," ",ALAPADATOK!F7," ",ALAPADATOK!G7," ",ALAPADATOK!H7)</f>
        <v>8. melléklet a …. / 2024. ( .... ) önkormányzati rendelethez</v>
      </c>
      <c r="B1" s="1305"/>
      <c r="C1" s="1305"/>
      <c r="D1" s="1305"/>
      <c r="E1" s="1305"/>
      <c r="F1" s="1305"/>
      <c r="G1" s="1305"/>
    </row>
    <row r="3" spans="1:8" ht="25.5" customHeight="1" x14ac:dyDescent="0.25">
      <c r="A3" s="1306" t="s">
        <v>4</v>
      </c>
      <c r="B3" s="1306"/>
      <c r="C3" s="1306"/>
      <c r="D3" s="1306"/>
      <c r="E3" s="1306"/>
      <c r="F3" s="1306"/>
      <c r="G3" s="1306"/>
    </row>
    <row r="4" spans="1:8" ht="22.65" customHeight="1" thickBot="1" x14ac:dyDescent="0.35">
      <c r="B4" s="884"/>
      <c r="C4" s="884"/>
      <c r="D4" s="884"/>
      <c r="E4" s="884"/>
      <c r="F4" s="884"/>
      <c r="G4" s="880"/>
    </row>
    <row r="5" spans="1:8" s="126" customFormat="1" ht="44.4" customHeight="1" thickBot="1" x14ac:dyDescent="0.3">
      <c r="A5" s="749" t="s">
        <v>842</v>
      </c>
      <c r="B5" s="401" t="s">
        <v>60</v>
      </c>
      <c r="C5" s="402" t="s">
        <v>61</v>
      </c>
      <c r="D5" s="402" t="s">
        <v>1037</v>
      </c>
      <c r="E5" s="402" t="s">
        <v>1015</v>
      </c>
      <c r="F5" s="402" t="s">
        <v>1010</v>
      </c>
      <c r="G5" s="403" t="s">
        <v>1016</v>
      </c>
      <c r="H5" s="404"/>
    </row>
    <row r="6" spans="1:8" ht="12.15" customHeight="1" thickBot="1" x14ac:dyDescent="0.3">
      <c r="A6" s="1150">
        <v>1</v>
      </c>
      <c r="B6" s="1151">
        <v>2</v>
      </c>
      <c r="C6" s="1152">
        <v>3</v>
      </c>
      <c r="D6" s="1152">
        <v>4</v>
      </c>
      <c r="E6" s="1152">
        <v>5</v>
      </c>
      <c r="F6" s="1152">
        <v>6</v>
      </c>
      <c r="G6" s="1153" t="s">
        <v>714</v>
      </c>
    </row>
    <row r="7" spans="1:8" ht="12.15" customHeight="1" thickBot="1" x14ac:dyDescent="0.3">
      <c r="A7" s="1154" t="s">
        <v>637</v>
      </c>
      <c r="B7" s="1155">
        <f>SUM(B8:B27)</f>
        <v>901634605</v>
      </c>
      <c r="C7" s="1156"/>
      <c r="D7" s="1156">
        <f>SUM(D8:D27)</f>
        <v>393029630</v>
      </c>
      <c r="E7" s="1156">
        <f>SUM(E8:E27)</f>
        <v>33462776</v>
      </c>
      <c r="F7" s="1156">
        <f>SUM(F8:F27)</f>
        <v>475142199</v>
      </c>
      <c r="G7" s="1157">
        <f>SUM(G8:G27)</f>
        <v>0</v>
      </c>
    </row>
    <row r="8" spans="1:8" s="400" customFormat="1" ht="15" customHeight="1" x14ac:dyDescent="0.25">
      <c r="A8" s="1158" t="s">
        <v>556</v>
      </c>
      <c r="B8" s="1159">
        <v>127000</v>
      </c>
      <c r="C8" s="1160">
        <v>2024</v>
      </c>
      <c r="D8" s="1161"/>
      <c r="E8" s="1161"/>
      <c r="F8" s="1161">
        <v>127000</v>
      </c>
      <c r="G8" s="1162">
        <f t="shared" ref="G8" si="0">B8-D8-F8-E8</f>
        <v>0</v>
      </c>
    </row>
    <row r="9" spans="1:8" s="400" customFormat="1" ht="15.9" customHeight="1" x14ac:dyDescent="0.25">
      <c r="A9" s="1163" t="s">
        <v>891</v>
      </c>
      <c r="B9" s="1159">
        <v>2540000</v>
      </c>
      <c r="C9" s="1160">
        <v>2024</v>
      </c>
      <c r="D9" s="1161"/>
      <c r="E9" s="1161"/>
      <c r="F9" s="1161">
        <v>2540000</v>
      </c>
      <c r="G9" s="1162">
        <f t="shared" ref="G9:G14" si="1">B9-D9-F9-E9</f>
        <v>0</v>
      </c>
    </row>
    <row r="10" spans="1:8" s="400" customFormat="1" ht="31.65" customHeight="1" x14ac:dyDescent="0.25">
      <c r="A10" s="1163" t="s">
        <v>1018</v>
      </c>
      <c r="B10" s="1159">
        <f>1860000+1300000</f>
        <v>3160000</v>
      </c>
      <c r="C10" s="1160">
        <v>2024</v>
      </c>
      <c r="D10" s="1161"/>
      <c r="E10" s="1161"/>
      <c r="F10" s="1161">
        <f>1860000+1300000</f>
        <v>3160000</v>
      </c>
      <c r="G10" s="1162">
        <f t="shared" si="1"/>
        <v>0</v>
      </c>
    </row>
    <row r="11" spans="1:8" s="1169" customFormat="1" ht="29.25" customHeight="1" x14ac:dyDescent="0.25">
      <c r="A11" s="1164" t="s">
        <v>807</v>
      </c>
      <c r="B11" s="1165">
        <v>127000</v>
      </c>
      <c r="C11" s="1166">
        <v>2024</v>
      </c>
      <c r="D11" s="1167"/>
      <c r="E11" s="1167"/>
      <c r="F11" s="1167">
        <v>127000</v>
      </c>
      <c r="G11" s="1168">
        <f t="shared" si="1"/>
        <v>0</v>
      </c>
    </row>
    <row r="12" spans="1:8" s="1169" customFormat="1" x14ac:dyDescent="0.25">
      <c r="A12" s="1170" t="s">
        <v>1048</v>
      </c>
      <c r="B12" s="1165">
        <v>1500001</v>
      </c>
      <c r="C12" s="1166">
        <v>2024</v>
      </c>
      <c r="D12" s="1167"/>
      <c r="E12" s="1167"/>
      <c r="F12" s="1167">
        <v>1500001</v>
      </c>
      <c r="G12" s="1168">
        <f t="shared" si="1"/>
        <v>0</v>
      </c>
    </row>
    <row r="13" spans="1:8" s="1171" customFormat="1" x14ac:dyDescent="0.25">
      <c r="A13" s="1158" t="s">
        <v>564</v>
      </c>
      <c r="B13" s="1159">
        <v>444500</v>
      </c>
      <c r="C13" s="1160">
        <v>2024</v>
      </c>
      <c r="D13" s="1161"/>
      <c r="E13" s="1161"/>
      <c r="F13" s="1161">
        <v>444500</v>
      </c>
      <c r="G13" s="1162">
        <f t="shared" si="1"/>
        <v>0</v>
      </c>
    </row>
    <row r="14" spans="1:8" s="1169" customFormat="1" ht="15.75" customHeight="1" x14ac:dyDescent="0.25">
      <c r="A14" s="1158" t="s">
        <v>636</v>
      </c>
      <c r="B14" s="1165">
        <f>184400236+56037+1500000</f>
        <v>185956273</v>
      </c>
      <c r="C14" s="1166" t="s">
        <v>1017</v>
      </c>
      <c r="D14" s="1167">
        <f>8473000+175983273</f>
        <v>184456273</v>
      </c>
      <c r="E14" s="1167"/>
      <c r="F14" s="1167">
        <f>1500000</f>
        <v>1500000</v>
      </c>
      <c r="G14" s="1168">
        <f t="shared" si="1"/>
        <v>0</v>
      </c>
    </row>
    <row r="15" spans="1:8" s="1169" customFormat="1" ht="15.75" customHeight="1" x14ac:dyDescent="0.25">
      <c r="A15" s="1158" t="s">
        <v>976</v>
      </c>
      <c r="B15" s="1165">
        <f>99839478</f>
        <v>99839478</v>
      </c>
      <c r="C15" s="1166" t="s">
        <v>977</v>
      </c>
      <c r="D15" s="1167">
        <v>3378835</v>
      </c>
      <c r="E15" s="1167"/>
      <c r="F15" s="1167">
        <v>96460643</v>
      </c>
      <c r="G15" s="1168">
        <f t="shared" ref="G15" si="2">B15-D15-F15-E15</f>
        <v>0</v>
      </c>
    </row>
    <row r="16" spans="1:8" ht="15.75" customHeight="1" x14ac:dyDescent="0.25">
      <c r="A16" s="1172" t="s">
        <v>806</v>
      </c>
      <c r="B16" s="1173">
        <f>97575000+1809000-524600</f>
        <v>98859400</v>
      </c>
      <c r="C16" s="1130" t="s">
        <v>1020</v>
      </c>
      <c r="D16" s="1135">
        <f>89909035+8092865</f>
        <v>98001900</v>
      </c>
      <c r="E16" s="1135"/>
      <c r="F16" s="1135">
        <f>8950365-8092865</f>
        <v>857500</v>
      </c>
      <c r="G16" s="1162">
        <f t="shared" ref="G16:G19" si="3">B16-D16-F16-E16</f>
        <v>0</v>
      </c>
    </row>
    <row r="17" spans="1:7" ht="33" customHeight="1" x14ac:dyDescent="0.25">
      <c r="A17" s="1174" t="s">
        <v>1068</v>
      </c>
      <c r="B17" s="1252">
        <f>254000+235839</f>
        <v>489839</v>
      </c>
      <c r="C17" s="1138" t="s">
        <v>1043</v>
      </c>
      <c r="D17" s="1139"/>
      <c r="E17" s="1139"/>
      <c r="F17" s="1251">
        <f>254000+235839</f>
        <v>489839</v>
      </c>
      <c r="G17" s="1168">
        <f t="shared" si="3"/>
        <v>0</v>
      </c>
    </row>
    <row r="18" spans="1:7" x14ac:dyDescent="0.25">
      <c r="A18" s="1174" t="s">
        <v>882</v>
      </c>
      <c r="B18" s="1175">
        <f>239013622-2900001</f>
        <v>236113621</v>
      </c>
      <c r="C18" s="1138" t="s">
        <v>1020</v>
      </c>
      <c r="D18" s="1139">
        <f>7169620+32982645</f>
        <v>40152265</v>
      </c>
      <c r="E18" s="1139"/>
      <c r="F18" s="1139">
        <f>195961356</f>
        <v>195961356</v>
      </c>
      <c r="G18" s="1168">
        <f t="shared" si="3"/>
        <v>0</v>
      </c>
    </row>
    <row r="19" spans="1:7" x14ac:dyDescent="0.25">
      <c r="A19" s="1174" t="s">
        <v>1005</v>
      </c>
      <c r="B19" s="1175">
        <f>590551+1723621+624828</f>
        <v>2939000</v>
      </c>
      <c r="C19" s="1138" t="s">
        <v>1004</v>
      </c>
      <c r="D19" s="1139">
        <v>2493594</v>
      </c>
      <c r="E19" s="1139"/>
      <c r="F19" s="1139">
        <f>2939000-2493594</f>
        <v>445406</v>
      </c>
      <c r="G19" s="1176">
        <f t="shared" si="3"/>
        <v>0</v>
      </c>
    </row>
    <row r="20" spans="1:7" x14ac:dyDescent="0.25">
      <c r="A20" s="1177" t="s">
        <v>930</v>
      </c>
      <c r="B20" s="1178">
        <v>170899024</v>
      </c>
      <c r="C20" s="1130" t="s">
        <v>971</v>
      </c>
      <c r="D20" s="1131">
        <f>4917089+2774235</f>
        <v>7691324</v>
      </c>
      <c r="E20" s="1131">
        <v>33462776</v>
      </c>
      <c r="F20" s="1131">
        <f>137436248-4917089-2774235</f>
        <v>129744924</v>
      </c>
      <c r="G20" s="1162">
        <f t="shared" ref="G20:G27" si="4">B20-D20-E20-F20</f>
        <v>0</v>
      </c>
    </row>
    <row r="21" spans="1:7" x14ac:dyDescent="0.25">
      <c r="A21" s="1179" t="s">
        <v>938</v>
      </c>
      <c r="B21" s="1180">
        <f>46228000+254000</f>
        <v>46482000</v>
      </c>
      <c r="C21" s="1181" t="s">
        <v>968</v>
      </c>
      <c r="D21" s="1182">
        <f>12418000+21364000</f>
        <v>33782000</v>
      </c>
      <c r="E21" s="1182"/>
      <c r="F21" s="1182">
        <v>12700000</v>
      </c>
      <c r="G21" s="1162">
        <f t="shared" si="4"/>
        <v>0</v>
      </c>
    </row>
    <row r="22" spans="1:7" x14ac:dyDescent="0.25">
      <c r="A22" s="1183" t="s">
        <v>939</v>
      </c>
      <c r="B22" s="1178">
        <v>23073440</v>
      </c>
      <c r="C22" s="1130" t="s">
        <v>968</v>
      </c>
      <c r="D22" s="1131">
        <f>13542440+9530999</f>
        <v>23073439</v>
      </c>
      <c r="E22" s="1131"/>
      <c r="F22" s="1131">
        <v>1</v>
      </c>
      <c r="G22" s="1162">
        <f t="shared" si="4"/>
        <v>0</v>
      </c>
    </row>
    <row r="23" spans="1:7" ht="26.4" x14ac:dyDescent="0.25">
      <c r="A23" s="1183" t="s">
        <v>1065</v>
      </c>
      <c r="B23" s="1253">
        <f>9566068+2556925+1134036</f>
        <v>13257029</v>
      </c>
      <c r="C23" s="1130" t="s">
        <v>1004</v>
      </c>
      <c r="D23" s="1131"/>
      <c r="E23" s="1131"/>
      <c r="F23" s="1254">
        <f>12122993+1134036</f>
        <v>13257029</v>
      </c>
      <c r="G23" s="1162">
        <f t="shared" si="4"/>
        <v>0</v>
      </c>
    </row>
    <row r="24" spans="1:7" x14ac:dyDescent="0.25">
      <c r="A24" s="1183" t="s">
        <v>1000</v>
      </c>
      <c r="B24" s="1178">
        <v>254000</v>
      </c>
      <c r="C24" s="1130">
        <v>2024</v>
      </c>
      <c r="D24" s="1131"/>
      <c r="E24" s="1131"/>
      <c r="F24" s="1131">
        <v>254000</v>
      </c>
      <c r="G24" s="1162">
        <f t="shared" ref="G24:G26" si="5">B24-D24-E24-F24</f>
        <v>0</v>
      </c>
    </row>
    <row r="25" spans="1:7" x14ac:dyDescent="0.25">
      <c r="A25" s="1183" t="s">
        <v>1046</v>
      </c>
      <c r="B25" s="1178">
        <v>1905000</v>
      </c>
      <c r="C25" s="1130" t="s">
        <v>1043</v>
      </c>
      <c r="D25" s="1131"/>
      <c r="E25" s="1131"/>
      <c r="F25" s="1131">
        <v>1905000</v>
      </c>
      <c r="G25" s="1184">
        <f t="shared" si="5"/>
        <v>0</v>
      </c>
    </row>
    <row r="26" spans="1:7" x14ac:dyDescent="0.25">
      <c r="A26" s="1177" t="s">
        <v>1044</v>
      </c>
      <c r="B26" s="1180">
        <v>3000000</v>
      </c>
      <c r="C26" s="1181" t="s">
        <v>1043</v>
      </c>
      <c r="D26" s="1182"/>
      <c r="E26" s="1182"/>
      <c r="F26" s="1182">
        <v>3000000</v>
      </c>
      <c r="G26" s="1185">
        <f t="shared" si="5"/>
        <v>0</v>
      </c>
    </row>
    <row r="27" spans="1:7" ht="13.8" thickBot="1" x14ac:dyDescent="0.3">
      <c r="A27" s="1186" t="s">
        <v>1042</v>
      </c>
      <c r="B27" s="1187">
        <v>10668000</v>
      </c>
      <c r="C27" s="1188" t="s">
        <v>1043</v>
      </c>
      <c r="D27" s="1189"/>
      <c r="E27" s="1189"/>
      <c r="F27" s="1189">
        <v>10668000</v>
      </c>
      <c r="G27" s="1185">
        <f t="shared" si="4"/>
        <v>0</v>
      </c>
    </row>
    <row r="28" spans="1:7" s="400" customFormat="1" ht="13.8" thickBot="1" x14ac:dyDescent="0.3">
      <c r="A28" s="1190" t="s">
        <v>677</v>
      </c>
      <c r="B28" s="1191">
        <f>SUM(B29:B31)</f>
        <v>5786498</v>
      </c>
      <c r="C28" s="1192"/>
      <c r="D28" s="1193"/>
      <c r="E28" s="1193"/>
      <c r="F28" s="1193">
        <f>SUM(F29:F31)</f>
        <v>5786498</v>
      </c>
      <c r="G28" s="1194">
        <f>B28-D28-F28-E28</f>
        <v>0</v>
      </c>
    </row>
    <row r="29" spans="1:7" s="1171" customFormat="1" x14ac:dyDescent="0.25">
      <c r="A29" s="1195" t="s">
        <v>970</v>
      </c>
      <c r="B29" s="1196">
        <f>3714999-1</f>
        <v>3714998</v>
      </c>
      <c r="C29" s="1130">
        <v>2024</v>
      </c>
      <c r="D29" s="1197"/>
      <c r="E29" s="1197"/>
      <c r="F29" s="1197">
        <f>3714999-1</f>
        <v>3714998</v>
      </c>
      <c r="G29" s="1198">
        <f>B29-D29-F29-E29</f>
        <v>0</v>
      </c>
    </row>
    <row r="30" spans="1:7" s="400" customFormat="1" x14ac:dyDescent="0.25">
      <c r="A30" s="1199" t="s">
        <v>676</v>
      </c>
      <c r="B30" s="1200">
        <v>2008000</v>
      </c>
      <c r="C30" s="1160">
        <v>2024</v>
      </c>
      <c r="D30" s="1161"/>
      <c r="E30" s="1161"/>
      <c r="F30" s="1161">
        <v>2008000</v>
      </c>
      <c r="G30" s="1168">
        <f>B30-D30-F30-E30</f>
        <v>0</v>
      </c>
    </row>
    <row r="31" spans="1:7" s="400" customFormat="1" ht="27" customHeight="1" thickBot="1" x14ac:dyDescent="0.3">
      <c r="A31" s="1201" t="s">
        <v>969</v>
      </c>
      <c r="B31" s="1202">
        <v>63500</v>
      </c>
      <c r="C31" s="1203">
        <v>2024</v>
      </c>
      <c r="D31" s="1204"/>
      <c r="E31" s="1204"/>
      <c r="F31" s="1204">
        <v>63500</v>
      </c>
      <c r="G31" s="1205">
        <f>B31-D31-F31-E31</f>
        <v>0</v>
      </c>
    </row>
    <row r="32" spans="1:7" s="1209" customFormat="1" ht="15.75" customHeight="1" thickBot="1" x14ac:dyDescent="0.3">
      <c r="A32" s="1206" t="s">
        <v>678</v>
      </c>
      <c r="B32" s="1207">
        <f>SUM(B33:B34)</f>
        <v>4074160</v>
      </c>
      <c r="C32" s="1208"/>
      <c r="D32" s="1207">
        <f>SUM(D34:D34)</f>
        <v>0</v>
      </c>
      <c r="E32" s="1207"/>
      <c r="F32" s="1207">
        <f>SUM(F33:F34)</f>
        <v>4074160</v>
      </c>
      <c r="G32" s="920">
        <f>B32-D32-F32-E32</f>
        <v>0</v>
      </c>
    </row>
    <row r="33" spans="1:7" s="1209" customFormat="1" ht="15.75" customHeight="1" x14ac:dyDescent="0.25">
      <c r="A33" s="1210" t="s">
        <v>643</v>
      </c>
      <c r="B33" s="1211">
        <f>3251200+530860</f>
        <v>3782060</v>
      </c>
      <c r="C33" s="1212">
        <v>2024</v>
      </c>
      <c r="D33" s="1213"/>
      <c r="E33" s="1213"/>
      <c r="F33" s="1213">
        <v>3782060</v>
      </c>
      <c r="G33" s="1214">
        <f t="shared" ref="G33" si="6">B33-D33-F33-E33</f>
        <v>0</v>
      </c>
    </row>
    <row r="34" spans="1:7" s="1169" customFormat="1" ht="15.75" customHeight="1" thickBot="1" x14ac:dyDescent="0.3">
      <c r="A34" s="1215" t="s">
        <v>554</v>
      </c>
      <c r="B34" s="1216">
        <v>292100</v>
      </c>
      <c r="C34" s="1217">
        <v>2024</v>
      </c>
      <c r="D34" s="1218"/>
      <c r="E34" s="1218"/>
      <c r="F34" s="1218">
        <v>292100</v>
      </c>
      <c r="G34" s="1219">
        <f t="shared" ref="G34:G42" si="7">B34-D34-F34-E34</f>
        <v>0</v>
      </c>
    </row>
    <row r="35" spans="1:7" s="400" customFormat="1" ht="15.75" customHeight="1" thickBot="1" x14ac:dyDescent="0.3">
      <c r="A35" s="1220" t="s">
        <v>679</v>
      </c>
      <c r="B35" s="1207">
        <f>SUM(B36:B37)</f>
        <v>4253000</v>
      </c>
      <c r="C35" s="1208"/>
      <c r="D35" s="1207">
        <f>SUM(D36:D37)</f>
        <v>0</v>
      </c>
      <c r="E35" s="1207"/>
      <c r="F35" s="1207">
        <f>SUM(F36:F37)</f>
        <v>4253000</v>
      </c>
      <c r="G35" s="920">
        <f t="shared" si="7"/>
        <v>0</v>
      </c>
    </row>
    <row r="36" spans="1:7" s="400" customFormat="1" ht="25.5" customHeight="1" x14ac:dyDescent="0.25">
      <c r="A36" s="1221" t="s">
        <v>1050</v>
      </c>
      <c r="B36" s="1211">
        <v>2856000</v>
      </c>
      <c r="C36" s="1222">
        <v>2024</v>
      </c>
      <c r="D36" s="1223"/>
      <c r="E36" s="1213"/>
      <c r="F36" s="1213">
        <v>2856000</v>
      </c>
      <c r="G36" s="1224">
        <f t="shared" si="7"/>
        <v>0</v>
      </c>
    </row>
    <row r="37" spans="1:7" s="400" customFormat="1" ht="15.75" customHeight="1" thickBot="1" x14ac:dyDescent="0.3">
      <c r="A37" s="1225" t="s">
        <v>975</v>
      </c>
      <c r="B37" s="1211">
        <v>1397000</v>
      </c>
      <c r="C37" s="1212">
        <v>2024</v>
      </c>
      <c r="D37" s="1213"/>
      <c r="E37" s="1213"/>
      <c r="F37" s="1213">
        <v>1397000</v>
      </c>
      <c r="G37" s="1224">
        <f t="shared" si="7"/>
        <v>0</v>
      </c>
    </row>
    <row r="38" spans="1:7" s="1227" customFormat="1" ht="35.4" customHeight="1" thickBot="1" x14ac:dyDescent="0.3">
      <c r="A38" s="1226" t="s">
        <v>681</v>
      </c>
      <c r="B38" s="1207">
        <f>SUM(B39:B42)</f>
        <v>54780000</v>
      </c>
      <c r="C38" s="1208"/>
      <c r="D38" s="1207">
        <f>SUM(D39:D42)</f>
        <v>0</v>
      </c>
      <c r="E38" s="1207"/>
      <c r="F38" s="1207">
        <f>SUM(F39:F42)</f>
        <v>54780000</v>
      </c>
      <c r="G38" s="920">
        <f t="shared" si="7"/>
        <v>0</v>
      </c>
    </row>
    <row r="39" spans="1:7" s="1209" customFormat="1" ht="21.15" customHeight="1" x14ac:dyDescent="0.25">
      <c r="A39" s="1215" t="s">
        <v>643</v>
      </c>
      <c r="B39" s="1216">
        <v>4210000</v>
      </c>
      <c r="C39" s="1228">
        <v>2024</v>
      </c>
      <c r="D39" s="1229"/>
      <c r="E39" s="1229"/>
      <c r="F39" s="1218">
        <v>4210000</v>
      </c>
      <c r="G39" s="1224">
        <f t="shared" si="7"/>
        <v>0</v>
      </c>
    </row>
    <row r="40" spans="1:7" s="1209" customFormat="1" ht="21.15" customHeight="1" x14ac:dyDescent="0.25">
      <c r="A40" s="1215" t="s">
        <v>554</v>
      </c>
      <c r="B40" s="1230">
        <v>1790000</v>
      </c>
      <c r="C40" s="1228">
        <v>2024</v>
      </c>
      <c r="D40" s="1229"/>
      <c r="E40" s="1229"/>
      <c r="F40" s="1229">
        <v>1790000</v>
      </c>
      <c r="G40" s="1224">
        <f t="shared" si="7"/>
        <v>0</v>
      </c>
    </row>
    <row r="41" spans="1:7" s="1209" customFormat="1" ht="21.15" customHeight="1" x14ac:dyDescent="0.25">
      <c r="A41" s="1231" t="s">
        <v>813</v>
      </c>
      <c r="B41" s="1232">
        <v>47580000</v>
      </c>
      <c r="C41" s="1222">
        <v>2024</v>
      </c>
      <c r="D41" s="1223"/>
      <c r="E41" s="1223"/>
      <c r="F41" s="1223">
        <v>47580000</v>
      </c>
      <c r="G41" s="1233">
        <f t="shared" si="7"/>
        <v>0</v>
      </c>
    </row>
    <row r="42" spans="1:7" s="1209" customFormat="1" ht="21.15" customHeight="1" thickBot="1" x14ac:dyDescent="0.3">
      <c r="A42" s="1225" t="s">
        <v>974</v>
      </c>
      <c r="B42" s="1211">
        <v>1200000</v>
      </c>
      <c r="C42" s="1212">
        <v>2024</v>
      </c>
      <c r="D42" s="1234"/>
      <c r="E42" s="1235"/>
      <c r="F42" s="1213">
        <v>1200000</v>
      </c>
      <c r="G42" s="1236">
        <f t="shared" si="7"/>
        <v>0</v>
      </c>
    </row>
    <row r="43" spans="1:7" s="400" customFormat="1" ht="21.15" customHeight="1" thickBot="1" x14ac:dyDescent="0.3">
      <c r="A43" s="1237" t="s">
        <v>680</v>
      </c>
      <c r="B43" s="1238">
        <f>SUM(B44:B45)</f>
        <v>508000</v>
      </c>
      <c r="C43" s="1239"/>
      <c r="D43" s="1238">
        <f>SUM(D44:D44)</f>
        <v>0</v>
      </c>
      <c r="E43" s="1238"/>
      <c r="F43" s="1238">
        <f>SUM(F44:F45)</f>
        <v>508000</v>
      </c>
      <c r="G43" s="1240">
        <f t="shared" ref="G43:G47" si="8">B43-D43-F43-E43</f>
        <v>0</v>
      </c>
    </row>
    <row r="44" spans="1:7" s="1171" customFormat="1" ht="19.5" customHeight="1" x14ac:dyDescent="0.25">
      <c r="A44" s="1241" t="s">
        <v>814</v>
      </c>
      <c r="B44" s="1242">
        <f>127000+317500</f>
        <v>444500</v>
      </c>
      <c r="C44" s="1243">
        <v>2024</v>
      </c>
      <c r="D44" s="1244"/>
      <c r="E44" s="1244"/>
      <c r="F44" s="1244">
        <v>444500</v>
      </c>
      <c r="G44" s="1245">
        <f t="shared" si="8"/>
        <v>0</v>
      </c>
    </row>
    <row r="45" spans="1:7" s="1171" customFormat="1" ht="19.5" customHeight="1" thickBot="1" x14ac:dyDescent="0.3">
      <c r="A45" s="1215" t="s">
        <v>554</v>
      </c>
      <c r="B45" s="1216">
        <v>63500</v>
      </c>
      <c r="C45" s="1217">
        <v>2024</v>
      </c>
      <c r="D45" s="1218"/>
      <c r="E45" s="1218"/>
      <c r="F45" s="1218">
        <v>63500</v>
      </c>
      <c r="G45" s="1219">
        <f t="shared" si="8"/>
        <v>0</v>
      </c>
    </row>
    <row r="46" spans="1:7" s="400" customFormat="1" ht="19.5" customHeight="1" thickBot="1" x14ac:dyDescent="0.3">
      <c r="A46" s="562" t="s">
        <v>642</v>
      </c>
      <c r="B46" s="890">
        <f>B43+B38+B35+B32+B28</f>
        <v>69401658</v>
      </c>
      <c r="C46" s="601"/>
      <c r="D46" s="601">
        <f>D43+D38+D35+D32+D28</f>
        <v>0</v>
      </c>
      <c r="E46" s="601"/>
      <c r="F46" s="601">
        <f>F43+F38+F35+F32+F28</f>
        <v>69401658</v>
      </c>
      <c r="G46" s="920">
        <f t="shared" si="8"/>
        <v>0</v>
      </c>
    </row>
    <row r="47" spans="1:7" s="400" customFormat="1" ht="19.5" customHeight="1" thickBot="1" x14ac:dyDescent="0.3">
      <c r="A47" s="562" t="s">
        <v>682</v>
      </c>
      <c r="B47" s="890">
        <f>B46+B7</f>
        <v>971036263</v>
      </c>
      <c r="C47" s="601"/>
      <c r="D47" s="601">
        <f>D46+D7</f>
        <v>393029630</v>
      </c>
      <c r="E47" s="601">
        <f>+E46+E7</f>
        <v>33462776</v>
      </c>
      <c r="F47" s="601">
        <f>F46+F7</f>
        <v>544543857</v>
      </c>
      <c r="G47" s="920">
        <f t="shared" si="8"/>
        <v>0</v>
      </c>
    </row>
    <row r="48" spans="1:7" x14ac:dyDescent="0.25">
      <c r="F48" s="400">
        <f>'1. sz.mell. '!C121</f>
        <v>544543857</v>
      </c>
    </row>
    <row r="49" spans="6:6" x14ac:dyDescent="0.25">
      <c r="F49" s="400">
        <f>F47-F48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19"/>
  <sheetViews>
    <sheetView zoomScale="130" zoomScaleNormal="130" zoomScaleSheetLayoutView="115" workbookViewId="0">
      <selection activeCell="A14" sqref="A14"/>
    </sheetView>
  </sheetViews>
  <sheetFormatPr defaultColWidth="9.33203125" defaultRowHeight="13.2" x14ac:dyDescent="0.25"/>
  <cols>
    <col min="1" max="1" width="60.6640625" style="69" customWidth="1"/>
    <col min="2" max="2" width="15.6640625" style="31" customWidth="1"/>
    <col min="3" max="3" width="16.33203125" style="31" customWidth="1"/>
    <col min="4" max="4" width="15" style="31" customWidth="1"/>
    <col min="5" max="5" width="18" style="31" customWidth="1"/>
    <col min="6" max="6" width="16.6640625" style="31" customWidth="1"/>
    <col min="7" max="7" width="18.77734375" style="31" customWidth="1"/>
    <col min="8" max="9" width="12.77734375" style="31" customWidth="1"/>
    <col min="10" max="10" width="13.77734375" style="31" customWidth="1"/>
    <col min="11" max="16384" width="9.33203125" style="31"/>
  </cols>
  <sheetData>
    <row r="1" spans="1:8" ht="15.6" x14ac:dyDescent="0.25">
      <c r="A1" s="1307" t="str">
        <f>CONCATENATE("12. melléklet"," ",ALAPADATOK!A7," ",ALAPADATOK!B7," ",ALAPADATOK!C7," ",ALAPADATOK!D7," ",ALAPADATOK!E7," ",ALAPADATOK!F7," ",ALAPADATOK!G7," ",ALAPADATOK!H7)</f>
        <v>12. melléklet a …. / 2024. ( .... ) önkormányzati rendelethez</v>
      </c>
      <c r="B1" s="1307"/>
      <c r="C1" s="1307"/>
      <c r="D1" s="1307"/>
      <c r="E1" s="1307"/>
      <c r="F1" s="1307"/>
      <c r="G1" s="1307"/>
    </row>
    <row r="3" spans="1:8" ht="24.75" customHeight="1" x14ac:dyDescent="0.25">
      <c r="A3" s="1308" t="s">
        <v>5</v>
      </c>
      <c r="B3" s="1308"/>
      <c r="C3" s="1308"/>
      <c r="D3" s="1308"/>
      <c r="E3" s="1308"/>
      <c r="F3" s="1308"/>
      <c r="G3" s="1308"/>
    </row>
    <row r="4" spans="1:8" ht="23.25" customHeight="1" thickBot="1" x14ac:dyDescent="0.35">
      <c r="B4" s="885"/>
      <c r="C4" s="885"/>
      <c r="D4" s="885"/>
      <c r="E4" s="885"/>
      <c r="F4" s="885"/>
      <c r="G4" s="881"/>
    </row>
    <row r="5" spans="1:8" s="126" customFormat="1" ht="48.75" customHeight="1" thickBot="1" x14ac:dyDescent="0.3">
      <c r="A5" s="563" t="s">
        <v>843</v>
      </c>
      <c r="B5" s="564" t="s">
        <v>60</v>
      </c>
      <c r="C5" s="564" t="s">
        <v>61</v>
      </c>
      <c r="D5" s="564" t="s">
        <v>1037</v>
      </c>
      <c r="E5" s="402" t="s">
        <v>1015</v>
      </c>
      <c r="F5" s="564" t="s">
        <v>1010</v>
      </c>
      <c r="G5" s="565" t="s">
        <v>1021</v>
      </c>
      <c r="H5" s="264"/>
    </row>
    <row r="6" spans="1:8" ht="15" customHeight="1" thickBot="1" x14ac:dyDescent="0.3">
      <c r="A6" s="977">
        <v>1</v>
      </c>
      <c r="B6" s="566">
        <v>2</v>
      </c>
      <c r="C6" s="567">
        <v>3</v>
      </c>
      <c r="D6" s="567">
        <v>4</v>
      </c>
      <c r="E6" s="567">
        <v>5</v>
      </c>
      <c r="F6" s="567">
        <v>6</v>
      </c>
      <c r="G6" s="568">
        <v>7</v>
      </c>
    </row>
    <row r="7" spans="1:8" ht="15" customHeight="1" x14ac:dyDescent="0.25">
      <c r="A7" s="1124" t="s">
        <v>565</v>
      </c>
      <c r="B7" s="1125">
        <f>SUM(B8:B16)</f>
        <v>1159591806</v>
      </c>
      <c r="C7" s="1126"/>
      <c r="D7" s="1127">
        <f>SUM(D8:D16)</f>
        <v>183352592</v>
      </c>
      <c r="E7" s="1127">
        <f>SUM(E8:E16)</f>
        <v>0</v>
      </c>
      <c r="F7" s="1127">
        <f>SUM(F8:F16)</f>
        <v>976239214</v>
      </c>
      <c r="G7" s="1127">
        <f>SUM(G8:G16)</f>
        <v>0</v>
      </c>
    </row>
    <row r="8" spans="1:8" ht="15.9" customHeight="1" x14ac:dyDescent="0.25">
      <c r="A8" s="1128" t="s">
        <v>555</v>
      </c>
      <c r="B8" s="1129">
        <v>6278880</v>
      </c>
      <c r="C8" s="1130">
        <v>2024</v>
      </c>
      <c r="D8" s="1131"/>
      <c r="E8" s="1131"/>
      <c r="F8" s="1131">
        <v>6278880</v>
      </c>
      <c r="G8" s="1132">
        <f t="shared" ref="G8:G9" si="0">B8-D8-E8-F8</f>
        <v>0</v>
      </c>
    </row>
    <row r="9" spans="1:8" ht="15.9" customHeight="1" x14ac:dyDescent="0.25">
      <c r="A9" s="1128" t="s">
        <v>1049</v>
      </c>
      <c r="B9" s="1129">
        <v>33189645</v>
      </c>
      <c r="C9" s="1130">
        <v>2024</v>
      </c>
      <c r="D9" s="1131"/>
      <c r="E9" s="1131"/>
      <c r="F9" s="1131">
        <v>33189645</v>
      </c>
      <c r="G9" s="1132">
        <f t="shared" si="0"/>
        <v>0</v>
      </c>
    </row>
    <row r="10" spans="1:8" ht="15.9" customHeight="1" x14ac:dyDescent="0.25">
      <c r="A10" s="1128" t="s">
        <v>1003</v>
      </c>
      <c r="B10" s="1129">
        <v>4650665</v>
      </c>
      <c r="C10" s="1130" t="s">
        <v>1004</v>
      </c>
      <c r="D10" s="1131"/>
      <c r="E10" s="1131"/>
      <c r="F10" s="1131">
        <v>4650665</v>
      </c>
      <c r="G10" s="1132">
        <f t="shared" ref="G10" si="1">B10-D10-E10-F10</f>
        <v>0</v>
      </c>
    </row>
    <row r="11" spans="1:8" x14ac:dyDescent="0.25">
      <c r="A11" s="1133" t="s">
        <v>883</v>
      </c>
      <c r="B11" s="1129">
        <v>295820280</v>
      </c>
      <c r="C11" s="1130" t="s">
        <v>1020</v>
      </c>
      <c r="D11" s="1131">
        <v>177497464</v>
      </c>
      <c r="E11" s="1131"/>
      <c r="F11" s="1131">
        <f>295820280-5963025-171534439</f>
        <v>118322816</v>
      </c>
      <c r="G11" s="1132">
        <f>B11-D11-E11-F11</f>
        <v>0</v>
      </c>
    </row>
    <row r="12" spans="1:8" x14ac:dyDescent="0.25">
      <c r="A12" s="1133" t="s">
        <v>978</v>
      </c>
      <c r="B12" s="1129">
        <v>191814096</v>
      </c>
      <c r="C12" s="1130" t="s">
        <v>1019</v>
      </c>
      <c r="D12" s="1131">
        <v>5855128</v>
      </c>
      <c r="E12" s="1131"/>
      <c r="F12" s="1131">
        <v>185958968</v>
      </c>
      <c r="G12" s="1132">
        <f t="shared" ref="G12:G15" si="2">B12-D12-E12-F12</f>
        <v>0</v>
      </c>
    </row>
    <row r="13" spans="1:8" x14ac:dyDescent="0.25">
      <c r="A13" s="1133" t="s">
        <v>938</v>
      </c>
      <c r="B13" s="1129">
        <v>350344740</v>
      </c>
      <c r="C13" s="1130" t="s">
        <v>968</v>
      </c>
      <c r="D13" s="1131"/>
      <c r="E13" s="1131"/>
      <c r="F13" s="1131">
        <v>350344740</v>
      </c>
      <c r="G13" s="1132">
        <f t="shared" si="2"/>
        <v>0</v>
      </c>
    </row>
    <row r="14" spans="1:8" x14ac:dyDescent="0.25">
      <c r="A14" s="1133" t="s">
        <v>939</v>
      </c>
      <c r="B14" s="1134">
        <v>255268500</v>
      </c>
      <c r="C14" s="1130" t="s">
        <v>968</v>
      </c>
      <c r="D14" s="1135"/>
      <c r="E14" s="1135"/>
      <c r="F14" s="1135">
        <v>255268500</v>
      </c>
      <c r="G14" s="1132">
        <f t="shared" si="2"/>
        <v>0</v>
      </c>
    </row>
    <row r="15" spans="1:8" x14ac:dyDescent="0.25">
      <c r="A15" s="1136" t="s">
        <v>1045</v>
      </c>
      <c r="B15" s="1137">
        <v>15875000</v>
      </c>
      <c r="C15" s="1138" t="s">
        <v>1043</v>
      </c>
      <c r="D15" s="1139"/>
      <c r="E15" s="1139"/>
      <c r="F15" s="1139">
        <v>15875000</v>
      </c>
      <c r="G15" s="1140">
        <f t="shared" si="2"/>
        <v>0</v>
      </c>
    </row>
    <row r="16" spans="1:8" ht="13.8" thickBot="1" x14ac:dyDescent="0.3">
      <c r="A16" s="1141" t="s">
        <v>1047</v>
      </c>
      <c r="B16" s="1142">
        <v>6350000</v>
      </c>
      <c r="C16" s="1143" t="s">
        <v>1043</v>
      </c>
      <c r="D16" s="1144"/>
      <c r="E16" s="1144"/>
      <c r="F16" s="1144">
        <v>6350000</v>
      </c>
      <c r="G16" s="1145">
        <f t="shared" ref="G16" si="3">B16-D16-E16-F16</f>
        <v>0</v>
      </c>
    </row>
    <row r="17" spans="1:7" ht="13.8" thickBot="1" x14ac:dyDescent="0.3">
      <c r="A17" s="1146" t="s">
        <v>59</v>
      </c>
      <c r="B17" s="1147">
        <f>B7</f>
        <v>1159591806</v>
      </c>
      <c r="C17" s="1148"/>
      <c r="D17" s="1148">
        <f>D7</f>
        <v>183352592</v>
      </c>
      <c r="E17" s="1148">
        <f>E7</f>
        <v>0</v>
      </c>
      <c r="F17" s="1148">
        <f>F7</f>
        <v>976239214</v>
      </c>
      <c r="G17" s="1149">
        <v>0</v>
      </c>
    </row>
    <row r="18" spans="1:7" x14ac:dyDescent="0.25">
      <c r="F18" s="31">
        <f>'1. sz.mell. '!C123</f>
        <v>976239214</v>
      </c>
    </row>
    <row r="19" spans="1:7" x14ac:dyDescent="0.25">
      <c r="F19" s="31">
        <f>F17-F18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9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E168"/>
  <sheetViews>
    <sheetView zoomScaleNormal="100" zoomScaleSheetLayoutView="85" workbookViewId="0">
      <selection activeCell="A2" sqref="A2:E2"/>
    </sheetView>
  </sheetViews>
  <sheetFormatPr defaultRowHeight="13.2" x14ac:dyDescent="0.25"/>
  <cols>
    <col min="1" max="1" width="38.6640625" customWidth="1"/>
    <col min="2" max="4" width="24.77734375" customWidth="1"/>
    <col min="5" max="5" width="26.77734375" customWidth="1"/>
    <col min="7" max="7" width="12.6640625" customWidth="1"/>
    <col min="8" max="8" width="16.33203125" customWidth="1"/>
    <col min="9" max="9" width="15.109375" bestFit="1" customWidth="1"/>
    <col min="10" max="10" width="17.77734375" customWidth="1"/>
    <col min="11" max="11" width="14" bestFit="1" customWidth="1"/>
    <col min="256" max="256" width="38.6640625" customWidth="1"/>
    <col min="257" max="259" width="24.77734375" customWidth="1"/>
    <col min="260" max="260" width="26.77734375" customWidth="1"/>
    <col min="261" max="261" width="5" bestFit="1" customWidth="1"/>
    <col min="512" max="512" width="38.6640625" customWidth="1"/>
    <col min="513" max="515" width="24.77734375" customWidth="1"/>
    <col min="516" max="516" width="26.77734375" customWidth="1"/>
    <col min="517" max="517" width="5" bestFit="1" customWidth="1"/>
    <col min="768" max="768" width="38.6640625" customWidth="1"/>
    <col min="769" max="771" width="24.77734375" customWidth="1"/>
    <col min="772" max="772" width="26.77734375" customWidth="1"/>
    <col min="773" max="773" width="5" bestFit="1" customWidth="1"/>
    <col min="1024" max="1024" width="38.6640625" customWidth="1"/>
    <col min="1025" max="1027" width="24.77734375" customWidth="1"/>
    <col min="1028" max="1028" width="26.77734375" customWidth="1"/>
    <col min="1029" max="1029" width="5" bestFit="1" customWidth="1"/>
    <col min="1280" max="1280" width="38.6640625" customWidth="1"/>
    <col min="1281" max="1283" width="24.77734375" customWidth="1"/>
    <col min="1284" max="1284" width="26.77734375" customWidth="1"/>
    <col min="1285" max="1285" width="5" bestFit="1" customWidth="1"/>
    <col min="1536" max="1536" width="38.6640625" customWidth="1"/>
    <col min="1537" max="1539" width="24.77734375" customWidth="1"/>
    <col min="1540" max="1540" width="26.77734375" customWidth="1"/>
    <col min="1541" max="1541" width="5" bestFit="1" customWidth="1"/>
    <col min="1792" max="1792" width="38.6640625" customWidth="1"/>
    <col min="1793" max="1795" width="24.77734375" customWidth="1"/>
    <col min="1796" max="1796" width="26.77734375" customWidth="1"/>
    <col min="1797" max="1797" width="5" bestFit="1" customWidth="1"/>
    <col min="2048" max="2048" width="38.6640625" customWidth="1"/>
    <col min="2049" max="2051" width="24.77734375" customWidth="1"/>
    <col min="2052" max="2052" width="26.77734375" customWidth="1"/>
    <col min="2053" max="2053" width="5" bestFit="1" customWidth="1"/>
    <col min="2304" max="2304" width="38.6640625" customWidth="1"/>
    <col min="2305" max="2307" width="24.77734375" customWidth="1"/>
    <col min="2308" max="2308" width="26.77734375" customWidth="1"/>
    <col min="2309" max="2309" width="5" bestFit="1" customWidth="1"/>
    <col min="2560" max="2560" width="38.6640625" customWidth="1"/>
    <col min="2561" max="2563" width="24.77734375" customWidth="1"/>
    <col min="2564" max="2564" width="26.77734375" customWidth="1"/>
    <col min="2565" max="2565" width="5" bestFit="1" customWidth="1"/>
    <col min="2816" max="2816" width="38.6640625" customWidth="1"/>
    <col min="2817" max="2819" width="24.77734375" customWidth="1"/>
    <col min="2820" max="2820" width="26.77734375" customWidth="1"/>
    <col min="2821" max="2821" width="5" bestFit="1" customWidth="1"/>
    <col min="3072" max="3072" width="38.6640625" customWidth="1"/>
    <col min="3073" max="3075" width="24.77734375" customWidth="1"/>
    <col min="3076" max="3076" width="26.77734375" customWidth="1"/>
    <col min="3077" max="3077" width="5" bestFit="1" customWidth="1"/>
    <col min="3328" max="3328" width="38.6640625" customWidth="1"/>
    <col min="3329" max="3331" width="24.77734375" customWidth="1"/>
    <col min="3332" max="3332" width="26.77734375" customWidth="1"/>
    <col min="3333" max="3333" width="5" bestFit="1" customWidth="1"/>
    <col min="3584" max="3584" width="38.6640625" customWidth="1"/>
    <col min="3585" max="3587" width="24.77734375" customWidth="1"/>
    <col min="3588" max="3588" width="26.77734375" customWidth="1"/>
    <col min="3589" max="3589" width="5" bestFit="1" customWidth="1"/>
    <col min="3840" max="3840" width="38.6640625" customWidth="1"/>
    <col min="3841" max="3843" width="24.77734375" customWidth="1"/>
    <col min="3844" max="3844" width="26.77734375" customWidth="1"/>
    <col min="3845" max="3845" width="5" bestFit="1" customWidth="1"/>
    <col min="4096" max="4096" width="38.6640625" customWidth="1"/>
    <col min="4097" max="4099" width="24.77734375" customWidth="1"/>
    <col min="4100" max="4100" width="26.77734375" customWidth="1"/>
    <col min="4101" max="4101" width="5" bestFit="1" customWidth="1"/>
    <col min="4352" max="4352" width="38.6640625" customWidth="1"/>
    <col min="4353" max="4355" width="24.77734375" customWidth="1"/>
    <col min="4356" max="4356" width="26.77734375" customWidth="1"/>
    <col min="4357" max="4357" width="5" bestFit="1" customWidth="1"/>
    <col min="4608" max="4608" width="38.6640625" customWidth="1"/>
    <col min="4609" max="4611" width="24.77734375" customWidth="1"/>
    <col min="4612" max="4612" width="26.77734375" customWidth="1"/>
    <col min="4613" max="4613" width="5" bestFit="1" customWidth="1"/>
    <col min="4864" max="4864" width="38.6640625" customWidth="1"/>
    <col min="4865" max="4867" width="24.77734375" customWidth="1"/>
    <col min="4868" max="4868" width="26.77734375" customWidth="1"/>
    <col min="4869" max="4869" width="5" bestFit="1" customWidth="1"/>
    <col min="5120" max="5120" width="38.6640625" customWidth="1"/>
    <col min="5121" max="5123" width="24.77734375" customWidth="1"/>
    <col min="5124" max="5124" width="26.77734375" customWidth="1"/>
    <col min="5125" max="5125" width="5" bestFit="1" customWidth="1"/>
    <col min="5376" max="5376" width="38.6640625" customWidth="1"/>
    <col min="5377" max="5379" width="24.77734375" customWidth="1"/>
    <col min="5380" max="5380" width="26.77734375" customWidth="1"/>
    <col min="5381" max="5381" width="5" bestFit="1" customWidth="1"/>
    <col min="5632" max="5632" width="38.6640625" customWidth="1"/>
    <col min="5633" max="5635" width="24.77734375" customWidth="1"/>
    <col min="5636" max="5636" width="26.77734375" customWidth="1"/>
    <col min="5637" max="5637" width="5" bestFit="1" customWidth="1"/>
    <col min="5888" max="5888" width="38.6640625" customWidth="1"/>
    <col min="5889" max="5891" width="24.77734375" customWidth="1"/>
    <col min="5892" max="5892" width="26.77734375" customWidth="1"/>
    <col min="5893" max="5893" width="5" bestFit="1" customWidth="1"/>
    <col min="6144" max="6144" width="38.6640625" customWidth="1"/>
    <col min="6145" max="6147" width="24.77734375" customWidth="1"/>
    <col min="6148" max="6148" width="26.77734375" customWidth="1"/>
    <col min="6149" max="6149" width="5" bestFit="1" customWidth="1"/>
    <col min="6400" max="6400" width="38.6640625" customWidth="1"/>
    <col min="6401" max="6403" width="24.77734375" customWidth="1"/>
    <col min="6404" max="6404" width="26.77734375" customWidth="1"/>
    <col min="6405" max="6405" width="5" bestFit="1" customWidth="1"/>
    <col min="6656" max="6656" width="38.6640625" customWidth="1"/>
    <col min="6657" max="6659" width="24.77734375" customWidth="1"/>
    <col min="6660" max="6660" width="26.77734375" customWidth="1"/>
    <col min="6661" max="6661" width="5" bestFit="1" customWidth="1"/>
    <col min="6912" max="6912" width="38.6640625" customWidth="1"/>
    <col min="6913" max="6915" width="24.77734375" customWidth="1"/>
    <col min="6916" max="6916" width="26.77734375" customWidth="1"/>
    <col min="6917" max="6917" width="5" bestFit="1" customWidth="1"/>
    <col min="7168" max="7168" width="38.6640625" customWidth="1"/>
    <col min="7169" max="7171" width="24.77734375" customWidth="1"/>
    <col min="7172" max="7172" width="26.77734375" customWidth="1"/>
    <col min="7173" max="7173" width="5" bestFit="1" customWidth="1"/>
    <col min="7424" max="7424" width="38.6640625" customWidth="1"/>
    <col min="7425" max="7427" width="24.77734375" customWidth="1"/>
    <col min="7428" max="7428" width="26.77734375" customWidth="1"/>
    <col min="7429" max="7429" width="5" bestFit="1" customWidth="1"/>
    <col min="7680" max="7680" width="38.6640625" customWidth="1"/>
    <col min="7681" max="7683" width="24.77734375" customWidth="1"/>
    <col min="7684" max="7684" width="26.77734375" customWidth="1"/>
    <col min="7685" max="7685" width="5" bestFit="1" customWidth="1"/>
    <col min="7936" max="7936" width="38.6640625" customWidth="1"/>
    <col min="7937" max="7939" width="24.77734375" customWidth="1"/>
    <col min="7940" max="7940" width="26.77734375" customWidth="1"/>
    <col min="7941" max="7941" width="5" bestFit="1" customWidth="1"/>
    <col min="8192" max="8192" width="38.6640625" customWidth="1"/>
    <col min="8193" max="8195" width="24.77734375" customWidth="1"/>
    <col min="8196" max="8196" width="26.77734375" customWidth="1"/>
    <col min="8197" max="8197" width="5" bestFit="1" customWidth="1"/>
    <col min="8448" max="8448" width="38.6640625" customWidth="1"/>
    <col min="8449" max="8451" width="24.77734375" customWidth="1"/>
    <col min="8452" max="8452" width="26.77734375" customWidth="1"/>
    <col min="8453" max="8453" width="5" bestFit="1" customWidth="1"/>
    <col min="8704" max="8704" width="38.6640625" customWidth="1"/>
    <col min="8705" max="8707" width="24.77734375" customWidth="1"/>
    <col min="8708" max="8708" width="26.77734375" customWidth="1"/>
    <col min="8709" max="8709" width="5" bestFit="1" customWidth="1"/>
    <col min="8960" max="8960" width="38.6640625" customWidth="1"/>
    <col min="8961" max="8963" width="24.77734375" customWidth="1"/>
    <col min="8964" max="8964" width="26.77734375" customWidth="1"/>
    <col min="8965" max="8965" width="5" bestFit="1" customWidth="1"/>
    <col min="9216" max="9216" width="38.6640625" customWidth="1"/>
    <col min="9217" max="9219" width="24.77734375" customWidth="1"/>
    <col min="9220" max="9220" width="26.77734375" customWidth="1"/>
    <col min="9221" max="9221" width="5" bestFit="1" customWidth="1"/>
    <col min="9472" max="9472" width="38.6640625" customWidth="1"/>
    <col min="9473" max="9475" width="24.77734375" customWidth="1"/>
    <col min="9476" max="9476" width="26.77734375" customWidth="1"/>
    <col min="9477" max="9477" width="5" bestFit="1" customWidth="1"/>
    <col min="9728" max="9728" width="38.6640625" customWidth="1"/>
    <col min="9729" max="9731" width="24.77734375" customWidth="1"/>
    <col min="9732" max="9732" width="26.77734375" customWidth="1"/>
    <col min="9733" max="9733" width="5" bestFit="1" customWidth="1"/>
    <col min="9984" max="9984" width="38.6640625" customWidth="1"/>
    <col min="9985" max="9987" width="24.77734375" customWidth="1"/>
    <col min="9988" max="9988" width="26.77734375" customWidth="1"/>
    <col min="9989" max="9989" width="5" bestFit="1" customWidth="1"/>
    <col min="10240" max="10240" width="38.6640625" customWidth="1"/>
    <col min="10241" max="10243" width="24.77734375" customWidth="1"/>
    <col min="10244" max="10244" width="26.77734375" customWidth="1"/>
    <col min="10245" max="10245" width="5" bestFit="1" customWidth="1"/>
    <col min="10496" max="10496" width="38.6640625" customWidth="1"/>
    <col min="10497" max="10499" width="24.77734375" customWidth="1"/>
    <col min="10500" max="10500" width="26.77734375" customWidth="1"/>
    <col min="10501" max="10501" width="5" bestFit="1" customWidth="1"/>
    <col min="10752" max="10752" width="38.6640625" customWidth="1"/>
    <col min="10753" max="10755" width="24.77734375" customWidth="1"/>
    <col min="10756" max="10756" width="26.77734375" customWidth="1"/>
    <col min="10757" max="10757" width="5" bestFit="1" customWidth="1"/>
    <col min="11008" max="11008" width="38.6640625" customWidth="1"/>
    <col min="11009" max="11011" width="24.77734375" customWidth="1"/>
    <col min="11012" max="11012" width="26.77734375" customWidth="1"/>
    <col min="11013" max="11013" width="5" bestFit="1" customWidth="1"/>
    <col min="11264" max="11264" width="38.6640625" customWidth="1"/>
    <col min="11265" max="11267" width="24.77734375" customWidth="1"/>
    <col min="11268" max="11268" width="26.77734375" customWidth="1"/>
    <col min="11269" max="11269" width="5" bestFit="1" customWidth="1"/>
    <col min="11520" max="11520" width="38.6640625" customWidth="1"/>
    <col min="11521" max="11523" width="24.77734375" customWidth="1"/>
    <col min="11524" max="11524" width="26.77734375" customWidth="1"/>
    <col min="11525" max="11525" width="5" bestFit="1" customWidth="1"/>
    <col min="11776" max="11776" width="38.6640625" customWidth="1"/>
    <col min="11777" max="11779" width="24.77734375" customWidth="1"/>
    <col min="11780" max="11780" width="26.77734375" customWidth="1"/>
    <col min="11781" max="11781" width="5" bestFit="1" customWidth="1"/>
    <col min="12032" max="12032" width="38.6640625" customWidth="1"/>
    <col min="12033" max="12035" width="24.77734375" customWidth="1"/>
    <col min="12036" max="12036" width="26.77734375" customWidth="1"/>
    <col min="12037" max="12037" width="5" bestFit="1" customWidth="1"/>
    <col min="12288" max="12288" width="38.6640625" customWidth="1"/>
    <col min="12289" max="12291" width="24.77734375" customWidth="1"/>
    <col min="12292" max="12292" width="26.77734375" customWidth="1"/>
    <col min="12293" max="12293" width="5" bestFit="1" customWidth="1"/>
    <col min="12544" max="12544" width="38.6640625" customWidth="1"/>
    <col min="12545" max="12547" width="24.77734375" customWidth="1"/>
    <col min="12548" max="12548" width="26.77734375" customWidth="1"/>
    <col min="12549" max="12549" width="5" bestFit="1" customWidth="1"/>
    <col min="12800" max="12800" width="38.6640625" customWidth="1"/>
    <col min="12801" max="12803" width="24.77734375" customWidth="1"/>
    <col min="12804" max="12804" width="26.77734375" customWidth="1"/>
    <col min="12805" max="12805" width="5" bestFit="1" customWidth="1"/>
    <col min="13056" max="13056" width="38.6640625" customWidth="1"/>
    <col min="13057" max="13059" width="24.77734375" customWidth="1"/>
    <col min="13060" max="13060" width="26.77734375" customWidth="1"/>
    <col min="13061" max="13061" width="5" bestFit="1" customWidth="1"/>
    <col min="13312" max="13312" width="38.6640625" customWidth="1"/>
    <col min="13313" max="13315" width="24.77734375" customWidth="1"/>
    <col min="13316" max="13316" width="26.77734375" customWidth="1"/>
    <col min="13317" max="13317" width="5" bestFit="1" customWidth="1"/>
    <col min="13568" max="13568" width="38.6640625" customWidth="1"/>
    <col min="13569" max="13571" width="24.77734375" customWidth="1"/>
    <col min="13572" max="13572" width="26.77734375" customWidth="1"/>
    <col min="13573" max="13573" width="5" bestFit="1" customWidth="1"/>
    <col min="13824" max="13824" width="38.6640625" customWidth="1"/>
    <col min="13825" max="13827" width="24.77734375" customWidth="1"/>
    <col min="13828" max="13828" width="26.77734375" customWidth="1"/>
    <col min="13829" max="13829" width="5" bestFit="1" customWidth="1"/>
    <col min="14080" max="14080" width="38.6640625" customWidth="1"/>
    <col min="14081" max="14083" width="24.77734375" customWidth="1"/>
    <col min="14084" max="14084" width="26.77734375" customWidth="1"/>
    <col min="14085" max="14085" width="5" bestFit="1" customWidth="1"/>
    <col min="14336" max="14336" width="38.6640625" customWidth="1"/>
    <col min="14337" max="14339" width="24.77734375" customWidth="1"/>
    <col min="14340" max="14340" width="26.77734375" customWidth="1"/>
    <col min="14341" max="14341" width="5" bestFit="1" customWidth="1"/>
    <col min="14592" max="14592" width="38.6640625" customWidth="1"/>
    <col min="14593" max="14595" width="24.77734375" customWidth="1"/>
    <col min="14596" max="14596" width="26.77734375" customWidth="1"/>
    <col min="14597" max="14597" width="5" bestFit="1" customWidth="1"/>
    <col min="14848" max="14848" width="38.6640625" customWidth="1"/>
    <col min="14849" max="14851" width="24.77734375" customWidth="1"/>
    <col min="14852" max="14852" width="26.77734375" customWidth="1"/>
    <col min="14853" max="14853" width="5" bestFit="1" customWidth="1"/>
    <col min="15104" max="15104" width="38.6640625" customWidth="1"/>
    <col min="15105" max="15107" width="24.77734375" customWidth="1"/>
    <col min="15108" max="15108" width="26.77734375" customWidth="1"/>
    <col min="15109" max="15109" width="5" bestFit="1" customWidth="1"/>
    <col min="15360" max="15360" width="38.6640625" customWidth="1"/>
    <col min="15361" max="15363" width="24.77734375" customWidth="1"/>
    <col min="15364" max="15364" width="26.77734375" customWidth="1"/>
    <col min="15365" max="15365" width="5" bestFit="1" customWidth="1"/>
    <col min="15616" max="15616" width="38.6640625" customWidth="1"/>
    <col min="15617" max="15619" width="24.77734375" customWidth="1"/>
    <col min="15620" max="15620" width="26.77734375" customWidth="1"/>
    <col min="15621" max="15621" width="5" bestFit="1" customWidth="1"/>
    <col min="15872" max="15872" width="38.6640625" customWidth="1"/>
    <col min="15873" max="15875" width="24.77734375" customWidth="1"/>
    <col min="15876" max="15876" width="26.77734375" customWidth="1"/>
    <col min="15877" max="15877" width="5" bestFit="1" customWidth="1"/>
    <col min="16128" max="16128" width="38.6640625" customWidth="1"/>
    <col min="16129" max="16131" width="24.77734375" customWidth="1"/>
    <col min="16132" max="16132" width="26.77734375" customWidth="1"/>
    <col min="16133" max="16133" width="5" bestFit="1" customWidth="1"/>
  </cols>
  <sheetData>
    <row r="1" spans="1:5" x14ac:dyDescent="0.25">
      <c r="A1" s="1332" t="str">
        <f>CONCATENATE("9. melléklet"," ",ALAPADATOK!A7," ",ALAPADATOK!B7," ",ALAPADATOK!C7," ",ALAPADATOK!D7," ",ALAPADATOK!E7," ",ALAPADATOK!F7," ",ALAPADATOK!G7," ",ALAPADATOK!H7)</f>
        <v>9. melléklet a …. / 2024. ( .... ) önkormányzati rendelethez</v>
      </c>
      <c r="B1" s="1332"/>
      <c r="C1" s="1332"/>
      <c r="D1" s="1332"/>
      <c r="E1" s="1332"/>
    </row>
    <row r="2" spans="1:5" ht="15.75" customHeight="1" x14ac:dyDescent="0.25">
      <c r="A2" s="1333" t="s">
        <v>892</v>
      </c>
      <c r="B2" s="1333"/>
      <c r="C2" s="1333"/>
      <c r="D2" s="1333"/>
      <c r="E2" s="1333"/>
    </row>
    <row r="3" spans="1:5" ht="15.75" customHeight="1" x14ac:dyDescent="0.25">
      <c r="A3" s="1115"/>
      <c r="B3" s="1115"/>
      <c r="C3" s="1115"/>
      <c r="D3" s="1115"/>
      <c r="E3" s="1115"/>
    </row>
    <row r="4" spans="1:5" ht="15.75" customHeight="1" x14ac:dyDescent="0.25">
      <c r="A4" s="1331" t="s">
        <v>1066</v>
      </c>
      <c r="B4" s="1331"/>
      <c r="C4" s="1331"/>
      <c r="D4" s="1331"/>
      <c r="E4" s="1331"/>
    </row>
    <row r="5" spans="1:5" ht="15.75" customHeight="1" thickBot="1" x14ac:dyDescent="0.3">
      <c r="A5" s="921"/>
      <c r="B5" s="921"/>
      <c r="C5" s="921"/>
      <c r="D5" s="921"/>
      <c r="E5" s="923" t="s">
        <v>489</v>
      </c>
    </row>
    <row r="6" spans="1:5" ht="15.75" customHeight="1" thickBot="1" x14ac:dyDescent="0.3">
      <c r="A6" s="1313" t="s">
        <v>511</v>
      </c>
      <c r="B6" s="1316" t="s">
        <v>893</v>
      </c>
      <c r="C6" s="1317"/>
      <c r="D6" s="1317"/>
      <c r="E6" s="1326"/>
    </row>
    <row r="7" spans="1:5" ht="15.75" customHeight="1" thickBot="1" x14ac:dyDescent="0.3">
      <c r="A7" s="1314"/>
      <c r="B7" s="1309" t="s">
        <v>898</v>
      </c>
      <c r="C7" s="1321" t="s">
        <v>894</v>
      </c>
      <c r="D7" s="1329"/>
      <c r="E7" s="1330"/>
    </row>
    <row r="8" spans="1:5" ht="15.75" customHeight="1" x14ac:dyDescent="0.25">
      <c r="A8" s="1314"/>
      <c r="B8" s="1319"/>
      <c r="C8" s="1309" t="str">
        <f>CONCATENATE(ALAPADATOK!$D$7," előttre ütemezett bevétel, kiadás")</f>
        <v>2024. előttre ütemezett bevétel, kiadás</v>
      </c>
      <c r="D8" s="1309" t="str">
        <f>CONCATENATE(ALAPADATOK!$D$7," évre ütemezett bevétel, kiadás")</f>
        <v>2024. évre ütemezett bevétel, kiadás</v>
      </c>
      <c r="E8" s="1309" t="str">
        <f>CONCATENATE(ALAPADATOK!$D$7," utánra ütemezett bevétel, kiadás")</f>
        <v>2024. utánra ütemezett bevétel, kiadás</v>
      </c>
    </row>
    <row r="9" spans="1:5" ht="15.75" customHeight="1" thickBot="1" x14ac:dyDescent="0.3">
      <c r="A9" s="1315"/>
      <c r="B9" s="1320"/>
      <c r="C9" s="1310"/>
      <c r="D9" s="1310"/>
      <c r="E9" s="1311"/>
    </row>
    <row r="10" spans="1:5" ht="15.75" customHeight="1" thickBot="1" x14ac:dyDescent="0.3">
      <c r="A10" s="1062" t="s">
        <v>382</v>
      </c>
      <c r="B10" s="924" t="s">
        <v>895</v>
      </c>
      <c r="C10" s="925" t="s">
        <v>384</v>
      </c>
      <c r="D10" s="922" t="s">
        <v>434</v>
      </c>
      <c r="E10" s="926" t="s">
        <v>435</v>
      </c>
    </row>
    <row r="11" spans="1:5" ht="15.75" customHeight="1" x14ac:dyDescent="0.25">
      <c r="A11" s="1063" t="s">
        <v>512</v>
      </c>
      <c r="B11" s="927">
        <f>C11+D11+E11</f>
        <v>310800</v>
      </c>
      <c r="C11" s="928">
        <v>310800</v>
      </c>
      <c r="D11" s="928"/>
      <c r="E11" s="929"/>
    </row>
    <row r="12" spans="1:5" ht="15.75" customHeight="1" x14ac:dyDescent="0.25">
      <c r="A12" s="1064" t="s">
        <v>513</v>
      </c>
      <c r="B12" s="930">
        <f>C12+D12+E12</f>
        <v>0</v>
      </c>
      <c r="C12" s="931"/>
      <c r="D12" s="931"/>
      <c r="E12" s="931"/>
    </row>
    <row r="13" spans="1:5" ht="15.75" customHeight="1" x14ac:dyDescent="0.25">
      <c r="A13" s="1065" t="s">
        <v>896</v>
      </c>
      <c r="B13" s="932">
        <f>C13+D13+E13</f>
        <v>174999035</v>
      </c>
      <c r="C13" s="933">
        <v>100247065</v>
      </c>
      <c r="D13" s="933">
        <f>174999035-100247065</f>
        <v>74751970</v>
      </c>
      <c r="E13" s="933"/>
    </row>
    <row r="14" spans="1:5" ht="15.75" customHeight="1" x14ac:dyDescent="0.25">
      <c r="A14" s="1065" t="s">
        <v>109</v>
      </c>
      <c r="B14" s="932">
        <f>C14+D14+E14</f>
        <v>0</v>
      </c>
      <c r="C14" s="933"/>
      <c r="D14" s="933"/>
      <c r="E14" s="933"/>
    </row>
    <row r="15" spans="1:5" ht="15.75" customHeight="1" thickBot="1" x14ac:dyDescent="0.3">
      <c r="A15" s="1065" t="s">
        <v>514</v>
      </c>
      <c r="B15" s="932">
        <f>C15+D15+E15</f>
        <v>0</v>
      </c>
      <c r="C15" s="933"/>
      <c r="D15" s="933"/>
      <c r="E15" s="933"/>
    </row>
    <row r="16" spans="1:5" ht="15.75" customHeight="1" thickBot="1" x14ac:dyDescent="0.3">
      <c r="A16" s="1066" t="s">
        <v>515</v>
      </c>
      <c r="B16" s="1008">
        <f>B11+SUM(B13:B15)</f>
        <v>175309835</v>
      </c>
      <c r="C16" s="1008">
        <f>C11+SUM(C13:C15)</f>
        <v>100557865</v>
      </c>
      <c r="D16" s="1008">
        <f>D11+SUM(D13:D15)</f>
        <v>74751970</v>
      </c>
      <c r="E16" s="935">
        <f>E11+SUM(E13:E15)</f>
        <v>0</v>
      </c>
    </row>
    <row r="17" spans="1:5" ht="15.75" customHeight="1" x14ac:dyDescent="0.25">
      <c r="A17" s="1067" t="s">
        <v>516</v>
      </c>
      <c r="B17" s="927">
        <f>C17+D17+E17</f>
        <v>1900001</v>
      </c>
      <c r="C17" s="928"/>
      <c r="D17" s="928">
        <f>1681417+218584</f>
        <v>1900001</v>
      </c>
      <c r="E17" s="929"/>
    </row>
    <row r="18" spans="1:5" ht="15.75" customHeight="1" x14ac:dyDescent="0.25">
      <c r="A18" s="1068" t="s">
        <v>517</v>
      </c>
      <c r="B18" s="932">
        <f>C18+D18+E18</f>
        <v>137436248</v>
      </c>
      <c r="C18" s="933">
        <f>3478023+939066+500000+2774235</f>
        <v>7691324</v>
      </c>
      <c r="D18" s="933">
        <f>137436248-3478023-939066-500000-2774235</f>
        <v>129744924</v>
      </c>
      <c r="E18" s="933"/>
    </row>
    <row r="19" spans="1:5" ht="15.75" customHeight="1" x14ac:dyDescent="0.25">
      <c r="A19" s="1068" t="s">
        <v>518</v>
      </c>
      <c r="B19" s="932">
        <f>C19+D19+E19</f>
        <v>2510810</v>
      </c>
      <c r="C19" s="933">
        <v>1171600</v>
      </c>
      <c r="D19" s="933">
        <f>35662786-33462776+310800-1171600</f>
        <v>1339210</v>
      </c>
      <c r="E19" s="933"/>
    </row>
    <row r="20" spans="1:5" ht="15.75" customHeight="1" x14ac:dyDescent="0.25">
      <c r="A20" s="1068" t="s">
        <v>519</v>
      </c>
      <c r="B20" s="932">
        <f>C20+D20+E20</f>
        <v>0</v>
      </c>
      <c r="C20" s="933"/>
      <c r="D20" s="933"/>
      <c r="E20" s="933"/>
    </row>
    <row r="21" spans="1:5" ht="15.75" customHeight="1" thickBot="1" x14ac:dyDescent="0.3">
      <c r="A21" s="1069" t="s">
        <v>897</v>
      </c>
      <c r="B21" s="936">
        <f>C21+D21+E21</f>
        <v>33462776</v>
      </c>
      <c r="C21" s="937"/>
      <c r="D21" s="937">
        <v>33462776</v>
      </c>
      <c r="E21" s="938"/>
    </row>
    <row r="22" spans="1:5" ht="15.75" customHeight="1" thickBot="1" x14ac:dyDescent="0.3">
      <c r="A22" s="1070" t="s">
        <v>97</v>
      </c>
      <c r="B22" s="1008">
        <f>SUM(B17:B21)</f>
        <v>175309835</v>
      </c>
      <c r="C22" s="1008">
        <f>SUM(C17:C21)</f>
        <v>8862924</v>
      </c>
      <c r="D22" s="1008">
        <f>SUM(D17:D21)</f>
        <v>166446911</v>
      </c>
      <c r="E22" s="935">
        <f>SUM(E17:E21)</f>
        <v>0</v>
      </c>
    </row>
    <row r="23" spans="1:5" ht="15.6" x14ac:dyDescent="0.25">
      <c r="A23" s="1116"/>
      <c r="B23" s="1115"/>
      <c r="C23" s="1115"/>
      <c r="D23" s="1115"/>
      <c r="E23" s="1115"/>
    </row>
    <row r="24" spans="1:5" ht="13.8" x14ac:dyDescent="0.25">
      <c r="A24" s="1331" t="s">
        <v>1022</v>
      </c>
      <c r="B24" s="1331"/>
      <c r="C24" s="1331"/>
      <c r="D24" s="1331"/>
      <c r="E24" s="1331"/>
    </row>
    <row r="25" spans="1:5" ht="14.4" thickBot="1" x14ac:dyDescent="0.3">
      <c r="A25" s="921"/>
      <c r="B25" s="921"/>
      <c r="C25" s="921"/>
      <c r="D25" s="921"/>
      <c r="E25" s="923" t="s">
        <v>489</v>
      </c>
    </row>
    <row r="26" spans="1:5" ht="13.8" thickBot="1" x14ac:dyDescent="0.3">
      <c r="A26" s="1313" t="s">
        <v>511</v>
      </c>
      <c r="B26" s="1316" t="s">
        <v>893</v>
      </c>
      <c r="C26" s="1317"/>
      <c r="D26" s="1317"/>
      <c r="E26" s="1326"/>
    </row>
    <row r="27" spans="1:5" ht="13.8" thickBot="1" x14ac:dyDescent="0.3">
      <c r="A27" s="1314"/>
      <c r="B27" s="1309" t="s">
        <v>898</v>
      </c>
      <c r="C27" s="1321" t="s">
        <v>894</v>
      </c>
      <c r="D27" s="1329"/>
      <c r="E27" s="1330"/>
    </row>
    <row r="28" spans="1:5" x14ac:dyDescent="0.25">
      <c r="A28" s="1314"/>
      <c r="B28" s="1319"/>
      <c r="C28" s="1309" t="str">
        <f>CONCATENATE(ALAPADATOK!$D$7," előttre ütemezett bevétel, kiadás")</f>
        <v>2024. előttre ütemezett bevétel, kiadás</v>
      </c>
      <c r="D28" s="1309" t="str">
        <f>CONCATENATE(ALAPADATOK!$D$7," évre ütemezett bevétel, kiadás")</f>
        <v>2024. évre ütemezett bevétel, kiadás</v>
      </c>
      <c r="E28" s="1309" t="str">
        <f>CONCATENATE(ALAPADATOK!$D$7," utánra ütemezett bevétel, kiadás")</f>
        <v>2024. utánra ütemezett bevétel, kiadás</v>
      </c>
    </row>
    <row r="29" spans="1:5" ht="13.95" customHeight="1" thickBot="1" x14ac:dyDescent="0.3">
      <c r="A29" s="1315"/>
      <c r="B29" s="1320"/>
      <c r="C29" s="1310"/>
      <c r="D29" s="1310"/>
      <c r="E29" s="1311"/>
    </row>
    <row r="30" spans="1:5" ht="13.8" thickBot="1" x14ac:dyDescent="0.3">
      <c r="A30" s="1062" t="s">
        <v>382</v>
      </c>
      <c r="B30" s="924" t="s">
        <v>895</v>
      </c>
      <c r="C30" s="925" t="s">
        <v>384</v>
      </c>
      <c r="D30" s="922" t="s">
        <v>434</v>
      </c>
      <c r="E30" s="926" t="s">
        <v>435</v>
      </c>
    </row>
    <row r="31" spans="1:5" x14ac:dyDescent="0.25">
      <c r="A31" s="1063" t="s">
        <v>512</v>
      </c>
      <c r="B31" s="1257">
        <f>C31+D31+E31</f>
        <v>414000</v>
      </c>
      <c r="C31" s="1256">
        <f>254000+80000</f>
        <v>334000</v>
      </c>
      <c r="D31" s="928">
        <v>80000</v>
      </c>
      <c r="E31" s="929"/>
    </row>
    <row r="32" spans="1:5" x14ac:dyDescent="0.25">
      <c r="A32" s="1064" t="s">
        <v>513</v>
      </c>
      <c r="B32" s="930">
        <f>C32+D32+E32</f>
        <v>0</v>
      </c>
      <c r="C32" s="931"/>
      <c r="D32" s="931"/>
      <c r="E32" s="931"/>
    </row>
    <row r="33" spans="1:5" x14ac:dyDescent="0.25">
      <c r="A33" s="1065" t="s">
        <v>896</v>
      </c>
      <c r="B33" s="932">
        <f>C33+D33+E33</f>
        <v>420256132</v>
      </c>
      <c r="C33" s="933">
        <v>413906132</v>
      </c>
      <c r="D33" s="933"/>
      <c r="E33" s="933">
        <v>6350000</v>
      </c>
    </row>
    <row r="34" spans="1:5" x14ac:dyDescent="0.25">
      <c r="A34" s="1065" t="s">
        <v>109</v>
      </c>
      <c r="B34" s="932">
        <f>C34+D34+E34</f>
        <v>0</v>
      </c>
      <c r="C34" s="933"/>
      <c r="D34" s="933"/>
      <c r="E34" s="933"/>
    </row>
    <row r="35" spans="1:5" ht="13.8" thickBot="1" x14ac:dyDescent="0.3">
      <c r="A35" s="1065" t="s">
        <v>514</v>
      </c>
      <c r="B35" s="932">
        <f>C35+D35+E35</f>
        <v>0</v>
      </c>
      <c r="C35" s="933"/>
      <c r="D35" s="933"/>
      <c r="E35" s="933"/>
    </row>
    <row r="36" spans="1:5" ht="13.8" thickBot="1" x14ac:dyDescent="0.3">
      <c r="A36" s="1066" t="s">
        <v>515</v>
      </c>
      <c r="B36" s="934">
        <f>B31+SUM(B33:B35)</f>
        <v>420670132</v>
      </c>
      <c r="C36" s="934">
        <f>C31+SUM(C33:C35)</f>
        <v>414240132</v>
      </c>
      <c r="D36" s="934">
        <f>D31+SUM(D33:D35)</f>
        <v>80000</v>
      </c>
      <c r="E36" s="935">
        <f>E31+SUM(E33:E35)</f>
        <v>6350000</v>
      </c>
    </row>
    <row r="37" spans="1:5" x14ac:dyDescent="0.25">
      <c r="A37" s="1067" t="s">
        <v>516</v>
      </c>
      <c r="B37" s="1018">
        <f>C37+D37+E37</f>
        <v>0</v>
      </c>
      <c r="C37" s="1019"/>
      <c r="D37" s="1019"/>
      <c r="E37" s="929"/>
    </row>
    <row r="38" spans="1:5" x14ac:dyDescent="0.25">
      <c r="A38" s="1068" t="s">
        <v>517</v>
      </c>
      <c r="B38" s="932">
        <f>C38+D38+E38</f>
        <v>396826740</v>
      </c>
      <c r="C38" s="933">
        <f>11938000+480000+21364000</f>
        <v>33782000</v>
      </c>
      <c r="D38" s="933">
        <f>46228000+350344740-11938000-480000+254000-21364000</f>
        <v>363044740</v>
      </c>
      <c r="E38" s="933"/>
    </row>
    <row r="39" spans="1:5" x14ac:dyDescent="0.25">
      <c r="A39" s="1068" t="s">
        <v>518</v>
      </c>
      <c r="B39" s="932">
        <f>C39+D39+E39</f>
        <v>17493392</v>
      </c>
      <c r="C39" s="933">
        <f>3755593+80000</f>
        <v>3835593</v>
      </c>
      <c r="D39" s="933">
        <f>17333392-3755593+80000</f>
        <v>13657799</v>
      </c>
      <c r="E39" s="933"/>
    </row>
    <row r="40" spans="1:5" x14ac:dyDescent="0.25">
      <c r="A40" s="1068" t="s">
        <v>519</v>
      </c>
      <c r="B40" s="932">
        <f>C40+D40+E40</f>
        <v>0</v>
      </c>
      <c r="C40" s="933"/>
      <c r="D40" s="933"/>
      <c r="E40" s="933"/>
    </row>
    <row r="41" spans="1:5" ht="13.8" thickBot="1" x14ac:dyDescent="0.3">
      <c r="A41" s="1069" t="s">
        <v>940</v>
      </c>
      <c r="B41" s="936">
        <f>C41+D41+E41</f>
        <v>6350000</v>
      </c>
      <c r="C41" s="1022"/>
      <c r="D41" s="1022"/>
      <c r="E41" s="938">
        <v>6350000</v>
      </c>
    </row>
    <row r="42" spans="1:5" ht="13.8" thickBot="1" x14ac:dyDescent="0.3">
      <c r="A42" s="1070" t="s">
        <v>97</v>
      </c>
      <c r="B42" s="934">
        <f>SUM(B37:B41)</f>
        <v>420670132</v>
      </c>
      <c r="C42" s="934">
        <f>SUM(C37:C41)</f>
        <v>37617593</v>
      </c>
      <c r="D42" s="934">
        <f>SUM(D37:D41)</f>
        <v>376702539</v>
      </c>
      <c r="E42" s="935">
        <f>SUM(E37:E41)</f>
        <v>6350000</v>
      </c>
    </row>
    <row r="45" spans="1:5" ht="13.8" x14ac:dyDescent="0.25">
      <c r="A45" s="1331" t="s">
        <v>1023</v>
      </c>
      <c r="B45" s="1331"/>
      <c r="C45" s="1331"/>
      <c r="D45" s="1331"/>
      <c r="E45" s="1331"/>
    </row>
    <row r="46" spans="1:5" ht="14.4" thickBot="1" x14ac:dyDescent="0.3">
      <c r="A46" s="921"/>
      <c r="B46" s="921"/>
      <c r="C46" s="921"/>
      <c r="D46" s="921"/>
      <c r="E46" s="923" t="s">
        <v>489</v>
      </c>
    </row>
    <row r="47" spans="1:5" ht="13.8" thickBot="1" x14ac:dyDescent="0.3">
      <c r="A47" s="1313" t="s">
        <v>511</v>
      </c>
      <c r="B47" s="1316" t="s">
        <v>893</v>
      </c>
      <c r="C47" s="1317"/>
      <c r="D47" s="1317"/>
      <c r="E47" s="1326"/>
    </row>
    <row r="48" spans="1:5" ht="13.8" thickBot="1" x14ac:dyDescent="0.3">
      <c r="A48" s="1314"/>
      <c r="B48" s="1309" t="s">
        <v>898</v>
      </c>
      <c r="C48" s="1321" t="s">
        <v>894</v>
      </c>
      <c r="D48" s="1329"/>
      <c r="E48" s="1330"/>
    </row>
    <row r="49" spans="1:5" x14ac:dyDescent="0.25">
      <c r="A49" s="1314"/>
      <c r="B49" s="1319"/>
      <c r="C49" s="1309" t="str">
        <f>CONCATENATE(ALAPADATOK!$D$7," előttre ütemezett bevétel, kiadás")</f>
        <v>2024. előttre ütemezett bevétel, kiadás</v>
      </c>
      <c r="D49" s="1309" t="str">
        <f>CONCATENATE(ALAPADATOK!$D$7," évre ütemezett bevétel, kiadás")</f>
        <v>2024. évre ütemezett bevétel, kiadás</v>
      </c>
      <c r="E49" s="1309" t="str">
        <f>CONCATENATE(ALAPADATOK!$D$7," utánra ütemezett bevétel, kiadás")</f>
        <v>2024. utánra ütemezett bevétel, kiadás</v>
      </c>
    </row>
    <row r="50" spans="1:5" ht="13.95" customHeight="1" thickBot="1" x14ac:dyDescent="0.3">
      <c r="A50" s="1315"/>
      <c r="B50" s="1320"/>
      <c r="C50" s="1310"/>
      <c r="D50" s="1310"/>
      <c r="E50" s="1311"/>
    </row>
    <row r="51" spans="1:5" ht="13.8" thickBot="1" x14ac:dyDescent="0.3">
      <c r="A51" s="1062" t="s">
        <v>382</v>
      </c>
      <c r="B51" s="924" t="s">
        <v>895</v>
      </c>
      <c r="C51" s="925" t="s">
        <v>384</v>
      </c>
      <c r="D51" s="922" t="s">
        <v>434</v>
      </c>
      <c r="E51" s="926" t="s">
        <v>435</v>
      </c>
    </row>
    <row r="52" spans="1:5" x14ac:dyDescent="0.25">
      <c r="A52" s="1063" t="s">
        <v>512</v>
      </c>
      <c r="B52" s="927">
        <f>C52+D52+E52</f>
        <v>350000</v>
      </c>
      <c r="C52" s="928"/>
      <c r="D52" s="928">
        <v>350000</v>
      </c>
      <c r="E52" s="929"/>
    </row>
    <row r="53" spans="1:5" x14ac:dyDescent="0.25">
      <c r="A53" s="1064" t="s">
        <v>513</v>
      </c>
      <c r="B53" s="930">
        <f>C53+D53+E53</f>
        <v>0</v>
      </c>
      <c r="C53" s="931"/>
      <c r="D53" s="931"/>
      <c r="E53" s="931"/>
    </row>
    <row r="54" spans="1:5" x14ac:dyDescent="0.25">
      <c r="A54" s="1065" t="s">
        <v>896</v>
      </c>
      <c r="B54" s="932">
        <f>C54+D54+E54</f>
        <v>308632940</v>
      </c>
      <c r="C54" s="933">
        <v>197288627</v>
      </c>
      <c r="D54" s="933">
        <f>295932940-197288627</f>
        <v>98644313</v>
      </c>
      <c r="E54" s="933">
        <v>12700000</v>
      </c>
    </row>
    <row r="55" spans="1:5" x14ac:dyDescent="0.25">
      <c r="A55" s="1065" t="s">
        <v>109</v>
      </c>
      <c r="B55" s="932">
        <f>C55+D55+E55</f>
        <v>0</v>
      </c>
      <c r="C55" s="933"/>
      <c r="D55" s="933"/>
      <c r="E55" s="933"/>
    </row>
    <row r="56" spans="1:5" ht="13.8" thickBot="1" x14ac:dyDescent="0.3">
      <c r="A56" s="1065" t="s">
        <v>514</v>
      </c>
      <c r="B56" s="1021">
        <f>C56+D56+E56</f>
        <v>0</v>
      </c>
      <c r="C56" s="1020"/>
      <c r="D56" s="1020"/>
      <c r="E56" s="933"/>
    </row>
    <row r="57" spans="1:5" ht="13.8" thickBot="1" x14ac:dyDescent="0.3">
      <c r="A57" s="1066" t="s">
        <v>515</v>
      </c>
      <c r="B57" s="934">
        <f>B52+SUM(B54:B56)</f>
        <v>308982940</v>
      </c>
      <c r="C57" s="934">
        <f>C52+SUM(C54:C56)</f>
        <v>197288627</v>
      </c>
      <c r="D57" s="934">
        <f>D52+SUM(D54:D56)</f>
        <v>98994313</v>
      </c>
      <c r="E57" s="935">
        <f>E52+SUM(E54:E56)</f>
        <v>12700000</v>
      </c>
    </row>
    <row r="58" spans="1:5" x14ac:dyDescent="0.25">
      <c r="A58" s="1067" t="s">
        <v>516</v>
      </c>
      <c r="B58" s="927">
        <f t="shared" ref="B58:B63" si="0">C58+D58+E58</f>
        <v>0</v>
      </c>
      <c r="C58" s="928"/>
      <c r="D58" s="928"/>
      <c r="E58" s="929"/>
    </row>
    <row r="59" spans="1:5" x14ac:dyDescent="0.25">
      <c r="A59" s="1068" t="s">
        <v>517</v>
      </c>
      <c r="B59" s="932">
        <f t="shared" si="0"/>
        <v>278341940</v>
      </c>
      <c r="C59" s="933">
        <f>13542440+9530999</f>
        <v>23073439</v>
      </c>
      <c r="D59" s="933">
        <f>23073440+255268500-13542440-9530999</f>
        <v>255268501</v>
      </c>
      <c r="E59" s="933"/>
    </row>
    <row r="60" spans="1:5" x14ac:dyDescent="0.25">
      <c r="A60" s="1068" t="s">
        <v>518</v>
      </c>
      <c r="B60" s="932">
        <f t="shared" si="0"/>
        <v>11272000</v>
      </c>
      <c r="C60" s="933">
        <f>1845969</f>
        <v>1845969</v>
      </c>
      <c r="D60" s="933">
        <f>17591000-6669000-1845969+350000</f>
        <v>9426031</v>
      </c>
      <c r="E60" s="933"/>
    </row>
    <row r="61" spans="1:5" x14ac:dyDescent="0.25">
      <c r="A61" s="1068" t="s">
        <v>519</v>
      </c>
      <c r="B61" s="932">
        <f t="shared" si="0"/>
        <v>0</v>
      </c>
      <c r="C61" s="933"/>
      <c r="D61" s="933"/>
      <c r="E61" s="933"/>
    </row>
    <row r="62" spans="1:5" x14ac:dyDescent="0.25">
      <c r="A62" s="1069" t="s">
        <v>897</v>
      </c>
      <c r="B62" s="932">
        <f t="shared" si="0"/>
        <v>6669000</v>
      </c>
      <c r="C62" s="937"/>
      <c r="D62" s="937">
        <v>6669000</v>
      </c>
      <c r="E62" s="937"/>
    </row>
    <row r="63" spans="1:5" ht="13.8" thickBot="1" x14ac:dyDescent="0.3">
      <c r="A63" s="1069" t="s">
        <v>940</v>
      </c>
      <c r="B63" s="936">
        <f t="shared" si="0"/>
        <v>12700000</v>
      </c>
      <c r="C63" s="937"/>
      <c r="D63" s="937"/>
      <c r="E63" s="938">
        <v>12700000</v>
      </c>
    </row>
    <row r="64" spans="1:5" ht="13.8" thickBot="1" x14ac:dyDescent="0.3">
      <c r="A64" s="1070" t="s">
        <v>97</v>
      </c>
      <c r="B64" s="934">
        <f>SUM(B58:B63)</f>
        <v>308982940</v>
      </c>
      <c r="C64" s="934">
        <f>SUM(C58:C63)</f>
        <v>24919408</v>
      </c>
      <c r="D64" s="934">
        <f>SUM(D58:D63)</f>
        <v>271363532</v>
      </c>
      <c r="E64" s="935">
        <f>SUM(E58:E63)</f>
        <v>12700000</v>
      </c>
    </row>
    <row r="65" spans="1:5" x14ac:dyDescent="0.25">
      <c r="A65" s="1076"/>
      <c r="B65" s="1077"/>
      <c r="C65" s="1077"/>
      <c r="D65" s="1077"/>
      <c r="E65" s="1078"/>
    </row>
    <row r="66" spans="1:5" ht="39" customHeight="1" x14ac:dyDescent="0.25">
      <c r="A66" s="1312" t="s">
        <v>981</v>
      </c>
      <c r="B66" s="1312"/>
      <c r="C66" s="1312"/>
      <c r="D66" s="1312"/>
      <c r="E66" s="1312"/>
    </row>
    <row r="67" spans="1:5" ht="14.4" thickBot="1" x14ac:dyDescent="0.3">
      <c r="A67" s="921"/>
      <c r="B67" s="921"/>
      <c r="C67" s="921"/>
      <c r="D67" s="921"/>
      <c r="E67" s="923" t="s">
        <v>489</v>
      </c>
    </row>
    <row r="68" spans="1:5" ht="13.8" thickBot="1" x14ac:dyDescent="0.3">
      <c r="A68" s="1313" t="s">
        <v>511</v>
      </c>
      <c r="B68" s="1316" t="s">
        <v>893</v>
      </c>
      <c r="C68" s="1317"/>
      <c r="D68" s="1317"/>
      <c r="E68" s="1326"/>
    </row>
    <row r="69" spans="1:5" ht="13.8" thickBot="1" x14ac:dyDescent="0.3">
      <c r="A69" s="1314"/>
      <c r="B69" s="1309" t="str">
        <f>B48</f>
        <v>A projektre jóváhagyott összes
 bevétel, kiadás</v>
      </c>
      <c r="C69" s="1321" t="s">
        <v>894</v>
      </c>
      <c r="D69" s="1329"/>
      <c r="E69" s="1330"/>
    </row>
    <row r="70" spans="1:5" x14ac:dyDescent="0.25">
      <c r="A70" s="1314"/>
      <c r="B70" s="1327"/>
      <c r="C70" s="1309" t="str">
        <f>CONCATENATE(ALAPADATOK!$D$7," előttre ütemezett bevétel, kiadás")</f>
        <v>2024. előttre ütemezett bevétel, kiadás</v>
      </c>
      <c r="D70" s="1309" t="str">
        <f>CONCATENATE(ALAPADATOK!$D$7," évre ütemezett bevétel, kiadás")</f>
        <v>2024. évre ütemezett bevétel, kiadás</v>
      </c>
      <c r="E70" s="1309" t="str">
        <f>CONCATENATE(ALAPADATOK!$D$7," utánra ütemezett bevétel, kiadás")</f>
        <v>2024. utánra ütemezett bevétel, kiadás</v>
      </c>
    </row>
    <row r="71" spans="1:5" ht="13.8" thickBot="1" x14ac:dyDescent="0.3">
      <c r="A71" s="1315"/>
      <c r="B71" s="1328"/>
      <c r="C71" s="1310"/>
      <c r="D71" s="1310"/>
      <c r="E71" s="1311"/>
    </row>
    <row r="72" spans="1:5" ht="13.8" thickBot="1" x14ac:dyDescent="0.3">
      <c r="A72" s="1062" t="s">
        <v>382</v>
      </c>
      <c r="B72" s="924" t="s">
        <v>895</v>
      </c>
      <c r="C72" s="925" t="s">
        <v>384</v>
      </c>
      <c r="D72" s="922" t="s">
        <v>434</v>
      </c>
      <c r="E72" s="926" t="s">
        <v>435</v>
      </c>
    </row>
    <row r="73" spans="1:5" x14ac:dyDescent="0.25">
      <c r="A73" s="1063" t="s">
        <v>512</v>
      </c>
      <c r="B73" s="927">
        <f>C73+D73+E73</f>
        <v>0</v>
      </c>
      <c r="C73" s="928"/>
      <c r="D73" s="928"/>
      <c r="E73" s="929"/>
    </row>
    <row r="74" spans="1:5" x14ac:dyDescent="0.25">
      <c r="A74" s="1064" t="s">
        <v>513</v>
      </c>
      <c r="B74" s="930">
        <f>C74+D74+E74</f>
        <v>0</v>
      </c>
      <c r="C74" s="931"/>
      <c r="D74" s="931"/>
      <c r="E74" s="931"/>
    </row>
    <row r="75" spans="1:5" x14ac:dyDescent="0.25">
      <c r="A75" s="1065" t="s">
        <v>896</v>
      </c>
      <c r="B75" s="932">
        <f>C75+D75+E75</f>
        <v>26932805</v>
      </c>
      <c r="C75" s="932">
        <v>26932805</v>
      </c>
      <c r="D75" s="933"/>
      <c r="E75" s="933"/>
    </row>
    <row r="76" spans="1:5" x14ac:dyDescent="0.25">
      <c r="A76" s="1065" t="s">
        <v>109</v>
      </c>
      <c r="B76" s="932">
        <f>C76+D76+E76</f>
        <v>0</v>
      </c>
      <c r="C76" s="933"/>
      <c r="D76" s="933"/>
      <c r="E76" s="933"/>
    </row>
    <row r="77" spans="1:5" ht="13.8" thickBot="1" x14ac:dyDescent="0.3">
      <c r="A77" s="1065" t="s">
        <v>514</v>
      </c>
      <c r="B77" s="1021">
        <f>C77+D77+E77</f>
        <v>0</v>
      </c>
      <c r="C77" s="1020"/>
      <c r="D77" s="1020"/>
      <c r="E77" s="933"/>
    </row>
    <row r="78" spans="1:5" ht="13.8" thickBot="1" x14ac:dyDescent="0.3">
      <c r="A78" s="1066" t="s">
        <v>515</v>
      </c>
      <c r="B78" s="934">
        <f>B73+SUM(B75:B77)</f>
        <v>26932805</v>
      </c>
      <c r="C78" s="934">
        <f>C73+SUM(C75:C77)</f>
        <v>26932805</v>
      </c>
      <c r="D78" s="934">
        <f>D73+SUM(D75:D77)</f>
        <v>0</v>
      </c>
      <c r="E78" s="935">
        <f>E73+SUM(E75:E77)</f>
        <v>0</v>
      </c>
    </row>
    <row r="79" spans="1:5" x14ac:dyDescent="0.25">
      <c r="A79" s="1067" t="s">
        <v>516</v>
      </c>
      <c r="B79" s="1092">
        <f t="shared" ref="B79:B84" si="1">C79+D79+E79</f>
        <v>23306205</v>
      </c>
      <c r="C79" s="928"/>
      <c r="D79" s="928">
        <v>23306205</v>
      </c>
      <c r="E79" s="929"/>
    </row>
    <row r="80" spans="1:5" x14ac:dyDescent="0.25">
      <c r="A80" s="1068" t="s">
        <v>517</v>
      </c>
      <c r="B80" s="1093">
        <f t="shared" si="1"/>
        <v>1200000</v>
      </c>
      <c r="C80" s="933"/>
      <c r="D80" s="933">
        <v>1200000</v>
      </c>
      <c r="E80" s="933"/>
    </row>
    <row r="81" spans="1:5" x14ac:dyDescent="0.25">
      <c r="A81" s="1068" t="s">
        <v>518</v>
      </c>
      <c r="B81" s="932">
        <f t="shared" si="1"/>
        <v>2426600</v>
      </c>
      <c r="C81" s="933"/>
      <c r="D81" s="933">
        <v>2426600</v>
      </c>
      <c r="E81" s="933"/>
    </row>
    <row r="82" spans="1:5" x14ac:dyDescent="0.25">
      <c r="A82" s="1068" t="s">
        <v>519</v>
      </c>
      <c r="B82" s="932">
        <f t="shared" si="1"/>
        <v>0</v>
      </c>
      <c r="C82" s="933"/>
      <c r="D82" s="933"/>
      <c r="E82" s="933"/>
    </row>
    <row r="83" spans="1:5" x14ac:dyDescent="0.25">
      <c r="A83" s="1069" t="s">
        <v>897</v>
      </c>
      <c r="B83" s="932">
        <f t="shared" si="1"/>
        <v>0</v>
      </c>
      <c r="C83" s="937"/>
      <c r="D83" s="937"/>
      <c r="E83" s="937"/>
    </row>
    <row r="84" spans="1:5" ht="13.8" thickBot="1" x14ac:dyDescent="0.3">
      <c r="A84" s="1069" t="s">
        <v>940</v>
      </c>
      <c r="B84" s="936">
        <f t="shared" si="1"/>
        <v>0</v>
      </c>
      <c r="C84" s="937"/>
      <c r="D84" s="937"/>
      <c r="E84" s="938"/>
    </row>
    <row r="85" spans="1:5" ht="13.8" thickBot="1" x14ac:dyDescent="0.3">
      <c r="A85" s="1070" t="s">
        <v>97</v>
      </c>
      <c r="B85" s="934">
        <f>SUM(B79:B84)</f>
        <v>26932805</v>
      </c>
      <c r="C85" s="934">
        <f>SUM(C79:C84)</f>
        <v>0</v>
      </c>
      <c r="D85" s="934">
        <f>SUM(D79:D84)</f>
        <v>26932805</v>
      </c>
      <c r="E85" s="935">
        <f>SUM(E79:E84)</f>
        <v>0</v>
      </c>
    </row>
    <row r="87" spans="1:5" ht="30.75" customHeight="1" x14ac:dyDescent="0.25">
      <c r="A87" s="1312" t="s">
        <v>982</v>
      </c>
      <c r="B87" s="1312"/>
      <c r="C87" s="1312"/>
      <c r="D87" s="1312"/>
      <c r="E87" s="1312"/>
    </row>
    <row r="88" spans="1:5" ht="14.4" thickBot="1" x14ac:dyDescent="0.3">
      <c r="A88" s="921"/>
      <c r="B88" s="921"/>
      <c r="C88" s="921"/>
      <c r="D88" s="921"/>
      <c r="E88" s="923" t="s">
        <v>489</v>
      </c>
    </row>
    <row r="89" spans="1:5" ht="13.8" thickBot="1" x14ac:dyDescent="0.3">
      <c r="A89" s="1313" t="s">
        <v>511</v>
      </c>
      <c r="B89" s="1316" t="s">
        <v>893</v>
      </c>
      <c r="C89" s="1317"/>
      <c r="D89" s="1317"/>
      <c r="E89" s="1326"/>
    </row>
    <row r="90" spans="1:5" ht="13.8" thickBot="1" x14ac:dyDescent="0.3">
      <c r="A90" s="1314"/>
      <c r="B90" s="1309" t="str">
        <f>B69</f>
        <v>A projektre jóváhagyott összes
 bevétel, kiadás</v>
      </c>
      <c r="C90" s="1321" t="s">
        <v>894</v>
      </c>
      <c r="D90" s="1329"/>
      <c r="E90" s="1330"/>
    </row>
    <row r="91" spans="1:5" x14ac:dyDescent="0.25">
      <c r="A91" s="1314"/>
      <c r="B91" s="1327"/>
      <c r="C91" s="1309" t="str">
        <f>CONCATENATE(ALAPADATOK!$D$7," előttre ütemezett bevétel, kiadás")</f>
        <v>2024. előttre ütemezett bevétel, kiadás</v>
      </c>
      <c r="D91" s="1309" t="str">
        <f>CONCATENATE(ALAPADATOK!$D$7," évre ütemezett bevétel, kiadás")</f>
        <v>2024. évre ütemezett bevétel, kiadás</v>
      </c>
      <c r="E91" s="1309" t="str">
        <f>CONCATENATE(ALAPADATOK!$D$7," utánra ütemezett bevétel, kiadás")</f>
        <v>2024. utánra ütemezett bevétel, kiadás</v>
      </c>
    </row>
    <row r="92" spans="1:5" ht="13.8" thickBot="1" x14ac:dyDescent="0.3">
      <c r="A92" s="1315"/>
      <c r="B92" s="1328"/>
      <c r="C92" s="1310"/>
      <c r="D92" s="1310"/>
      <c r="E92" s="1311"/>
    </row>
    <row r="93" spans="1:5" ht="13.8" thickBot="1" x14ac:dyDescent="0.3">
      <c r="A93" s="1062" t="s">
        <v>382</v>
      </c>
      <c r="B93" s="924" t="s">
        <v>895</v>
      </c>
      <c r="C93" s="925" t="s">
        <v>384</v>
      </c>
      <c r="D93" s="922" t="s">
        <v>434</v>
      </c>
      <c r="E93" s="926" t="s">
        <v>435</v>
      </c>
    </row>
    <row r="94" spans="1:5" x14ac:dyDescent="0.25">
      <c r="A94" s="1063" t="s">
        <v>512</v>
      </c>
      <c r="B94" s="927">
        <f>C94+D94+E94</f>
        <v>0</v>
      </c>
      <c r="C94" s="928"/>
      <c r="D94" s="928"/>
      <c r="E94" s="929"/>
    </row>
    <row r="95" spans="1:5" x14ac:dyDescent="0.25">
      <c r="A95" s="1064" t="s">
        <v>513</v>
      </c>
      <c r="B95" s="930">
        <f>C95+D95+E95</f>
        <v>0</v>
      </c>
      <c r="C95" s="931"/>
      <c r="D95" s="931"/>
      <c r="E95" s="931"/>
    </row>
    <row r="96" spans="1:5" x14ac:dyDescent="0.25">
      <c r="A96" s="1065" t="s">
        <v>896</v>
      </c>
      <c r="B96" s="932">
        <f>C96+D96+E96</f>
        <v>25935258</v>
      </c>
      <c r="C96" s="932">
        <v>25935258</v>
      </c>
      <c r="D96" s="933"/>
      <c r="E96" s="933"/>
    </row>
    <row r="97" spans="1:5" x14ac:dyDescent="0.25">
      <c r="A97" s="1065" t="s">
        <v>109</v>
      </c>
      <c r="B97" s="932">
        <f>C97+D97+E97</f>
        <v>0</v>
      </c>
      <c r="C97" s="933"/>
      <c r="D97" s="933"/>
      <c r="E97" s="933"/>
    </row>
    <row r="98" spans="1:5" ht="13.8" thickBot="1" x14ac:dyDescent="0.3">
      <c r="A98" s="1065" t="s">
        <v>514</v>
      </c>
      <c r="B98" s="1021">
        <f>C98+D98+E98</f>
        <v>0</v>
      </c>
      <c r="C98" s="1020"/>
      <c r="D98" s="1020"/>
      <c r="E98" s="933"/>
    </row>
    <row r="99" spans="1:5" ht="13.8" thickBot="1" x14ac:dyDescent="0.3">
      <c r="A99" s="1066" t="s">
        <v>515</v>
      </c>
      <c r="B99" s="934">
        <f>B94+SUM(B96:B98)</f>
        <v>25935258</v>
      </c>
      <c r="C99" s="934">
        <f>C94+SUM(C96:C98)</f>
        <v>25935258</v>
      </c>
      <c r="D99" s="934">
        <f>D94+SUM(D96:D98)</f>
        <v>0</v>
      </c>
      <c r="E99" s="935">
        <f>E94+SUM(E96:E98)</f>
        <v>0</v>
      </c>
    </row>
    <row r="100" spans="1:5" x14ac:dyDescent="0.25">
      <c r="A100" s="1067" t="s">
        <v>516</v>
      </c>
      <c r="B100" s="1092">
        <f t="shared" ref="B100:B105" si="2">C100+D100+E100</f>
        <v>6444591</v>
      </c>
      <c r="C100" s="928"/>
      <c r="D100" s="928">
        <v>6444591</v>
      </c>
      <c r="E100" s="1074"/>
    </row>
    <row r="101" spans="1:5" x14ac:dyDescent="0.25">
      <c r="A101" s="1068" t="s">
        <v>517</v>
      </c>
      <c r="B101" s="1093">
        <f t="shared" si="2"/>
        <v>0</v>
      </c>
      <c r="C101" s="933"/>
      <c r="D101" s="933"/>
      <c r="E101" s="1073"/>
    </row>
    <row r="102" spans="1:5" x14ac:dyDescent="0.25">
      <c r="A102" s="1068" t="s">
        <v>518</v>
      </c>
      <c r="B102" s="932">
        <f t="shared" si="2"/>
        <v>19490667</v>
      </c>
      <c r="C102" s="933">
        <v>1727200</v>
      </c>
      <c r="D102" s="933">
        <f>19490667-1727200</f>
        <v>17763467</v>
      </c>
      <c r="E102" s="1073"/>
    </row>
    <row r="103" spans="1:5" x14ac:dyDescent="0.25">
      <c r="A103" s="1068" t="s">
        <v>519</v>
      </c>
      <c r="B103" s="932">
        <f t="shared" si="2"/>
        <v>0</v>
      </c>
      <c r="C103" s="933"/>
      <c r="D103" s="933"/>
      <c r="E103" s="933"/>
    </row>
    <row r="104" spans="1:5" x14ac:dyDescent="0.25">
      <c r="A104" s="1069" t="s">
        <v>897</v>
      </c>
      <c r="B104" s="932">
        <f t="shared" si="2"/>
        <v>0</v>
      </c>
      <c r="C104" s="937"/>
      <c r="D104" s="937"/>
      <c r="E104" s="937"/>
    </row>
    <row r="105" spans="1:5" ht="13.8" thickBot="1" x14ac:dyDescent="0.3">
      <c r="A105" s="1069" t="s">
        <v>940</v>
      </c>
      <c r="B105" s="936">
        <f t="shared" si="2"/>
        <v>0</v>
      </c>
      <c r="C105" s="937"/>
      <c r="D105" s="937"/>
      <c r="E105" s="938"/>
    </row>
    <row r="106" spans="1:5" ht="13.8" thickBot="1" x14ac:dyDescent="0.3">
      <c r="A106" s="1070" t="s">
        <v>97</v>
      </c>
      <c r="B106" s="934">
        <f>SUM(B100:B105)</f>
        <v>25935258</v>
      </c>
      <c r="C106" s="934">
        <f>SUM(C100:C105)</f>
        <v>1727200</v>
      </c>
      <c r="D106" s="934">
        <f>SUM(D100:D105)</f>
        <v>24208058</v>
      </c>
      <c r="E106" s="935">
        <f>SUM(E100:E105)</f>
        <v>0</v>
      </c>
    </row>
    <row r="108" spans="1:5" ht="13.8" x14ac:dyDescent="0.25">
      <c r="A108" s="1331" t="s">
        <v>983</v>
      </c>
      <c r="B108" s="1331"/>
      <c r="C108" s="1331"/>
      <c r="D108" s="1331"/>
      <c r="E108" s="1331"/>
    </row>
    <row r="109" spans="1:5" ht="14.4" thickBot="1" x14ac:dyDescent="0.3">
      <c r="A109" s="921"/>
      <c r="B109" s="921"/>
      <c r="C109" s="921"/>
      <c r="D109" s="921"/>
      <c r="E109" s="923" t="s">
        <v>489</v>
      </c>
    </row>
    <row r="110" spans="1:5" ht="13.8" thickBot="1" x14ac:dyDescent="0.3">
      <c r="A110" s="1313" t="s">
        <v>511</v>
      </c>
      <c r="B110" s="1316" t="s">
        <v>893</v>
      </c>
      <c r="C110" s="1317"/>
      <c r="D110" s="1317"/>
      <c r="E110" s="1326"/>
    </row>
    <row r="111" spans="1:5" ht="13.95" customHeight="1" thickBot="1" x14ac:dyDescent="0.3">
      <c r="A111" s="1314"/>
      <c r="B111" s="1309" t="str">
        <f>B90</f>
        <v>A projektre jóváhagyott összes
 bevétel, kiadás</v>
      </c>
      <c r="C111" s="1321" t="s">
        <v>894</v>
      </c>
      <c r="D111" s="1329"/>
      <c r="E111" s="1330"/>
    </row>
    <row r="112" spans="1:5" x14ac:dyDescent="0.25">
      <c r="A112" s="1314"/>
      <c r="B112" s="1327"/>
      <c r="C112" s="1309" t="str">
        <f>CONCATENATE(ALAPADATOK!$D$7," előttre ütemezett bevétel, kiadás")</f>
        <v>2024. előttre ütemezett bevétel, kiadás</v>
      </c>
      <c r="D112" s="1309" t="str">
        <f>CONCATENATE(ALAPADATOK!$D$7," évre ütemezett bevétel, kiadás")</f>
        <v>2024. évre ütemezett bevétel, kiadás</v>
      </c>
      <c r="E112" s="1309" t="str">
        <f>CONCATENATE(ALAPADATOK!$D$7," utánra ütemezett bevétel, kiadás")</f>
        <v>2024. utánra ütemezett bevétel, kiadás</v>
      </c>
    </row>
    <row r="113" spans="1:5" ht="13.95" customHeight="1" thickBot="1" x14ac:dyDescent="0.3">
      <c r="A113" s="1315"/>
      <c r="B113" s="1328"/>
      <c r="C113" s="1310"/>
      <c r="D113" s="1310"/>
      <c r="E113" s="1311"/>
    </row>
    <row r="114" spans="1:5" ht="13.8" thickBot="1" x14ac:dyDescent="0.3">
      <c r="A114" s="1062" t="s">
        <v>382</v>
      </c>
      <c r="B114" s="924" t="s">
        <v>895</v>
      </c>
      <c r="C114" s="925" t="s">
        <v>384</v>
      </c>
      <c r="D114" s="922" t="s">
        <v>434</v>
      </c>
      <c r="E114" s="926" t="s">
        <v>435</v>
      </c>
    </row>
    <row r="115" spans="1:5" x14ac:dyDescent="0.25">
      <c r="A115" s="1063" t="s">
        <v>512</v>
      </c>
      <c r="B115" s="927">
        <f>C115+D115+E115</f>
        <v>0</v>
      </c>
      <c r="C115" s="928"/>
      <c r="D115" s="928"/>
      <c r="E115" s="929"/>
    </row>
    <row r="116" spans="1:5" x14ac:dyDescent="0.25">
      <c r="A116" s="1064" t="s">
        <v>513</v>
      </c>
      <c r="B116" s="930">
        <f>C116+D116+E116</f>
        <v>0</v>
      </c>
      <c r="C116" s="931"/>
      <c r="D116" s="931"/>
      <c r="E116" s="931"/>
    </row>
    <row r="117" spans="1:5" x14ac:dyDescent="0.25">
      <c r="A117" s="1065" t="s">
        <v>896</v>
      </c>
      <c r="B117" s="932">
        <f>C117+D117+E117</f>
        <v>197264096</v>
      </c>
      <c r="C117" s="933">
        <v>197264096</v>
      </c>
      <c r="D117" s="933"/>
      <c r="E117" s="933"/>
    </row>
    <row r="118" spans="1:5" x14ac:dyDescent="0.25">
      <c r="A118" s="1065" t="s">
        <v>109</v>
      </c>
      <c r="B118" s="932">
        <f>C118+D118+E118</f>
        <v>0</v>
      </c>
      <c r="C118" s="933"/>
      <c r="D118" s="933"/>
      <c r="E118" s="933"/>
    </row>
    <row r="119" spans="1:5" ht="13.8" thickBot="1" x14ac:dyDescent="0.3">
      <c r="A119" s="1065" t="s">
        <v>514</v>
      </c>
      <c r="B119" s="932">
        <f>C119+D119+E119</f>
        <v>0</v>
      </c>
      <c r="C119" s="933"/>
      <c r="D119" s="933">
        <v>0</v>
      </c>
      <c r="E119" s="933"/>
    </row>
    <row r="120" spans="1:5" ht="13.8" thickBot="1" x14ac:dyDescent="0.3">
      <c r="A120" s="1066" t="s">
        <v>515</v>
      </c>
      <c r="B120" s="934">
        <f>B115+SUM(B117:B119)</f>
        <v>197264096</v>
      </c>
      <c r="C120" s="934">
        <f>C115+SUM(C117:C119)</f>
        <v>197264096</v>
      </c>
      <c r="D120" s="934">
        <f>D115+SUM(D117:D119)</f>
        <v>0</v>
      </c>
      <c r="E120" s="935">
        <f>E115+SUM(E117:E119)</f>
        <v>0</v>
      </c>
    </row>
    <row r="121" spans="1:5" x14ac:dyDescent="0.25">
      <c r="A121" s="1067" t="s">
        <v>516</v>
      </c>
      <c r="B121" s="927">
        <f>C121+D121+E121</f>
        <v>3300000</v>
      </c>
      <c r="C121" s="928"/>
      <c r="D121" s="928">
        <f>2954342+345658</f>
        <v>3300000</v>
      </c>
      <c r="E121" s="929"/>
    </row>
    <row r="122" spans="1:5" x14ac:dyDescent="0.25">
      <c r="A122" s="1068" t="s">
        <v>517</v>
      </c>
      <c r="B122" s="932">
        <f>C122+D122+E122</f>
        <v>191814096</v>
      </c>
      <c r="C122" s="933">
        <f>5855128</f>
        <v>5855128</v>
      </c>
      <c r="D122" s="933">
        <f>191814096-5855128</f>
        <v>185958968</v>
      </c>
      <c r="E122" s="933"/>
    </row>
    <row r="123" spans="1:5" x14ac:dyDescent="0.25">
      <c r="A123" s="1068" t="s">
        <v>518</v>
      </c>
      <c r="B123" s="932">
        <f>C123+D123+E123</f>
        <v>1950000</v>
      </c>
      <c r="C123" s="933"/>
      <c r="D123" s="933">
        <v>1950000</v>
      </c>
      <c r="E123" s="933"/>
    </row>
    <row r="124" spans="1:5" x14ac:dyDescent="0.25">
      <c r="A124" s="1068" t="s">
        <v>519</v>
      </c>
      <c r="B124" s="932">
        <f>C124+D124+E124</f>
        <v>0</v>
      </c>
      <c r="C124" s="933"/>
      <c r="D124" s="933"/>
      <c r="E124" s="933"/>
    </row>
    <row r="125" spans="1:5" ht="13.8" thickBot="1" x14ac:dyDescent="0.3">
      <c r="A125" s="1069"/>
      <c r="B125" s="936">
        <f>C125+D125+E125</f>
        <v>0</v>
      </c>
      <c r="C125" s="937"/>
      <c r="D125" s="937"/>
      <c r="E125" s="938"/>
    </row>
    <row r="126" spans="1:5" ht="13.8" thickBot="1" x14ac:dyDescent="0.3">
      <c r="A126" s="1070" t="s">
        <v>97</v>
      </c>
      <c r="B126" s="934">
        <f>SUM(B121:B125)</f>
        <v>197064096</v>
      </c>
      <c r="C126" s="934">
        <f>SUM(C121:C125)</f>
        <v>5855128</v>
      </c>
      <c r="D126" s="934">
        <f>SUM(D121:D125)</f>
        <v>191208968</v>
      </c>
      <c r="E126" s="935">
        <f>SUM(E121:E125)</f>
        <v>0</v>
      </c>
    </row>
    <row r="128" spans="1:5" ht="13.8" x14ac:dyDescent="0.25">
      <c r="A128" s="1312" t="s">
        <v>979</v>
      </c>
      <c r="B128" s="1312"/>
      <c r="C128" s="1312"/>
      <c r="D128" s="1312"/>
      <c r="E128" s="1312"/>
    </row>
    <row r="129" spans="1:5" ht="14.4" thickBot="1" x14ac:dyDescent="0.3">
      <c r="A129" s="921"/>
      <c r="B129" s="921"/>
      <c r="C129" s="921"/>
      <c r="D129" s="921"/>
      <c r="E129" s="923" t="s">
        <v>489</v>
      </c>
    </row>
    <row r="130" spans="1:5" ht="13.8" thickBot="1" x14ac:dyDescent="0.3">
      <c r="A130" s="1313" t="s">
        <v>511</v>
      </c>
      <c r="B130" s="1316" t="s">
        <v>893</v>
      </c>
      <c r="C130" s="1317"/>
      <c r="D130" s="1317"/>
      <c r="E130" s="1326"/>
    </row>
    <row r="131" spans="1:5" ht="13.95" customHeight="1" thickBot="1" x14ac:dyDescent="0.3">
      <c r="A131" s="1314"/>
      <c r="B131" s="1309" t="str">
        <f>B111</f>
        <v>A projektre jóváhagyott összes
 bevétel, kiadás</v>
      </c>
      <c r="C131" s="1321" t="s">
        <v>894</v>
      </c>
      <c r="D131" s="1329"/>
      <c r="E131" s="1330"/>
    </row>
    <row r="132" spans="1:5" x14ac:dyDescent="0.25">
      <c r="A132" s="1314"/>
      <c r="B132" s="1327"/>
      <c r="C132" s="1309" t="str">
        <f>CONCATENATE(ALAPADATOK!$D$7," előttre ütemezett bevétel, kiadás")</f>
        <v>2024. előttre ütemezett bevétel, kiadás</v>
      </c>
      <c r="D132" s="1309" t="str">
        <f>CONCATENATE(ALAPADATOK!$D$7," évre ütemezett bevétel, kiadás")</f>
        <v>2024. évre ütemezett bevétel, kiadás</v>
      </c>
      <c r="E132" s="1309" t="str">
        <f>CONCATENATE(ALAPADATOK!$D$7," utánra ütemezett bevétel, kiadás")</f>
        <v>2024. utánra ütemezett bevétel, kiadás</v>
      </c>
    </row>
    <row r="133" spans="1:5" ht="13.95" customHeight="1" thickBot="1" x14ac:dyDescent="0.3">
      <c r="A133" s="1315"/>
      <c r="B133" s="1328"/>
      <c r="C133" s="1310"/>
      <c r="D133" s="1310"/>
      <c r="E133" s="1311"/>
    </row>
    <row r="134" spans="1:5" ht="13.8" thickBot="1" x14ac:dyDescent="0.3">
      <c r="A134" s="1062" t="s">
        <v>382</v>
      </c>
      <c r="B134" s="924" t="s">
        <v>895</v>
      </c>
      <c r="C134" s="925" t="s">
        <v>384</v>
      </c>
      <c r="D134" s="922" t="s">
        <v>434</v>
      </c>
      <c r="E134" s="926" t="s">
        <v>435</v>
      </c>
    </row>
    <row r="135" spans="1:5" x14ac:dyDescent="0.25">
      <c r="A135" s="1063" t="s">
        <v>512</v>
      </c>
      <c r="B135" s="927">
        <f>C135+D135+E135</f>
        <v>0</v>
      </c>
      <c r="C135" s="928"/>
      <c r="D135" s="928"/>
      <c r="E135" s="929"/>
    </row>
    <row r="136" spans="1:5" x14ac:dyDescent="0.25">
      <c r="A136" s="1064" t="s">
        <v>513</v>
      </c>
      <c r="B136" s="930">
        <f>C136+D136+E136</f>
        <v>0</v>
      </c>
      <c r="C136" s="931"/>
      <c r="D136" s="931"/>
      <c r="E136" s="931"/>
    </row>
    <row r="137" spans="1:5" x14ac:dyDescent="0.25">
      <c r="A137" s="1065" t="s">
        <v>896</v>
      </c>
      <c r="B137" s="932">
        <f>C137+D137+E137</f>
        <v>81338135</v>
      </c>
      <c r="C137" s="933">
        <v>81338135</v>
      </c>
      <c r="D137" s="933"/>
      <c r="E137" s="933"/>
    </row>
    <row r="138" spans="1:5" x14ac:dyDescent="0.25">
      <c r="A138" s="1065" t="s">
        <v>109</v>
      </c>
      <c r="B138" s="932">
        <f>C138+D138+E138</f>
        <v>0</v>
      </c>
      <c r="C138" s="933"/>
      <c r="D138" s="933"/>
      <c r="E138" s="933"/>
    </row>
    <row r="139" spans="1:5" ht="13.8" thickBot="1" x14ac:dyDescent="0.3">
      <c r="A139" s="1065" t="s">
        <v>980</v>
      </c>
      <c r="B139" s="932">
        <f>C139+D139+E139</f>
        <v>21502228</v>
      </c>
      <c r="C139" s="933">
        <v>718000</v>
      </c>
      <c r="D139" s="933">
        <f>21502228-718000</f>
        <v>20784228</v>
      </c>
      <c r="E139" s="933"/>
    </row>
    <row r="140" spans="1:5" ht="13.8" thickBot="1" x14ac:dyDescent="0.3">
      <c r="A140" s="1066" t="s">
        <v>515</v>
      </c>
      <c r="B140" s="934">
        <f>B135+SUM(B137:B139)</f>
        <v>102840363</v>
      </c>
      <c r="C140" s="934">
        <f>C135+SUM(C137:C139)</f>
        <v>82056135</v>
      </c>
      <c r="D140" s="934">
        <f>D135+SUM(D137:D139)</f>
        <v>20784228</v>
      </c>
      <c r="E140" s="935">
        <f>E135+SUM(E137:E139)</f>
        <v>0</v>
      </c>
    </row>
    <row r="141" spans="1:5" x14ac:dyDescent="0.25">
      <c r="A141" s="1067" t="s">
        <v>516</v>
      </c>
      <c r="B141" s="927">
        <f t="shared" ref="B141:B146" si="3">C141+D141+E141</f>
        <v>1140254</v>
      </c>
      <c r="C141" s="928"/>
      <c r="D141" s="928">
        <f>1020818+119436</f>
        <v>1140254</v>
      </c>
      <c r="E141" s="929"/>
    </row>
    <row r="142" spans="1:5" x14ac:dyDescent="0.25">
      <c r="A142" s="1068" t="s">
        <v>517</v>
      </c>
      <c r="B142" s="932">
        <f t="shared" si="3"/>
        <v>99839478</v>
      </c>
      <c r="C142" s="933">
        <f>3378835</f>
        <v>3378835</v>
      </c>
      <c r="D142" s="933">
        <f>5540023+73137519+21161936-3378835</f>
        <v>96460643</v>
      </c>
      <c r="E142" s="933"/>
    </row>
    <row r="143" spans="1:5" x14ac:dyDescent="0.25">
      <c r="A143" s="1068" t="s">
        <v>518</v>
      </c>
      <c r="B143" s="932">
        <f t="shared" si="3"/>
        <v>1860631</v>
      </c>
      <c r="C143" s="933"/>
      <c r="D143" s="933">
        <f>840254+380085+340292+300000</f>
        <v>1860631</v>
      </c>
      <c r="E143" s="933"/>
    </row>
    <row r="144" spans="1:5" x14ac:dyDescent="0.25">
      <c r="A144" s="1068" t="s">
        <v>519</v>
      </c>
      <c r="B144" s="932">
        <f t="shared" si="3"/>
        <v>0</v>
      </c>
      <c r="C144" s="933"/>
      <c r="D144" s="933"/>
      <c r="E144" s="933"/>
    </row>
    <row r="145" spans="1:5" x14ac:dyDescent="0.25">
      <c r="A145" s="1071" t="s">
        <v>520</v>
      </c>
      <c r="B145" s="932">
        <f t="shared" si="3"/>
        <v>0</v>
      </c>
      <c r="C145" s="937"/>
      <c r="D145" s="937">
        <v>0</v>
      </c>
      <c r="E145" s="937"/>
    </row>
    <row r="146" spans="1:5" ht="13.8" thickBot="1" x14ac:dyDescent="0.3">
      <c r="A146" s="1069" t="s">
        <v>897</v>
      </c>
      <c r="B146" s="936">
        <f t="shared" si="3"/>
        <v>0</v>
      </c>
      <c r="C146" s="937"/>
      <c r="D146" s="1079"/>
      <c r="E146" s="938"/>
    </row>
    <row r="147" spans="1:5" ht="13.8" thickBot="1" x14ac:dyDescent="0.3">
      <c r="A147" s="1070" t="s">
        <v>97</v>
      </c>
      <c r="B147" s="934">
        <f>SUM(B141:B146)</f>
        <v>102840363</v>
      </c>
      <c r="C147" s="934">
        <f>SUM(C141:C146)</f>
        <v>3378835</v>
      </c>
      <c r="D147" s="934">
        <f>SUM(D141:D146)</f>
        <v>99461528</v>
      </c>
      <c r="E147" s="935">
        <f>SUM(E141:E146)</f>
        <v>0</v>
      </c>
    </row>
    <row r="149" spans="1:5" ht="13.8" x14ac:dyDescent="0.25">
      <c r="A149" s="1312" t="s">
        <v>1064</v>
      </c>
      <c r="B149" s="1312"/>
      <c r="C149" s="1312"/>
      <c r="D149" s="1312"/>
      <c r="E149" s="1312"/>
    </row>
    <row r="150" spans="1:5" ht="15" thickBot="1" x14ac:dyDescent="0.3">
      <c r="A150" s="1246"/>
      <c r="B150" s="1246"/>
      <c r="C150" s="1246"/>
      <c r="D150" s="1246"/>
      <c r="E150" s="923" t="s">
        <v>489</v>
      </c>
    </row>
    <row r="151" spans="1:5" ht="13.8" thickBot="1" x14ac:dyDescent="0.3">
      <c r="A151" s="1313" t="s">
        <v>511</v>
      </c>
      <c r="B151" s="1316" t="s">
        <v>893</v>
      </c>
      <c r="C151" s="1317"/>
      <c r="D151" s="1317"/>
      <c r="E151" s="1318"/>
    </row>
    <row r="152" spans="1:5" ht="13.8" thickBot="1" x14ac:dyDescent="0.3">
      <c r="A152" s="1314"/>
      <c r="B152" s="1309" t="s">
        <v>898</v>
      </c>
      <c r="C152" s="1321" t="s">
        <v>894</v>
      </c>
      <c r="D152" s="1322"/>
      <c r="E152" s="1323"/>
    </row>
    <row r="153" spans="1:5" x14ac:dyDescent="0.25">
      <c r="A153" s="1314"/>
      <c r="B153" s="1319"/>
      <c r="C153" s="1309" t="str">
        <f>CONCATENATE(ALAPADATOK!$D$7," előttre ütemezett bevétel, kiadás")</f>
        <v>2024. előttre ütemezett bevétel, kiadás</v>
      </c>
      <c r="D153" s="1309" t="str">
        <f>CONCATENATE(ALAPADATOK!$D$7," évre ütemezett bevétel, kiadás")</f>
        <v>2024. évre ütemezett bevétel, kiadás</v>
      </c>
      <c r="E153" s="1309" t="str">
        <f>CONCATENATE(ALAPADATOK!$D$7," utánra ütemezett bevétel, kiadás")</f>
        <v>2024. utánra ütemezett bevétel, kiadás</v>
      </c>
    </row>
    <row r="154" spans="1:5" ht="13.95" customHeight="1" thickBot="1" x14ac:dyDescent="0.3">
      <c r="A154" s="1315"/>
      <c r="B154" s="1320"/>
      <c r="C154" s="1324"/>
      <c r="D154" s="1324"/>
      <c r="E154" s="1325"/>
    </row>
    <row r="155" spans="1:5" ht="13.8" thickBot="1" x14ac:dyDescent="0.3">
      <c r="A155" s="1062" t="s">
        <v>382</v>
      </c>
      <c r="B155" s="924" t="s">
        <v>895</v>
      </c>
      <c r="C155" s="925" t="s">
        <v>384</v>
      </c>
      <c r="D155" s="922" t="s">
        <v>434</v>
      </c>
      <c r="E155" s="926" t="s">
        <v>435</v>
      </c>
    </row>
    <row r="156" spans="1:5" x14ac:dyDescent="0.25">
      <c r="A156" s="1063" t="s">
        <v>512</v>
      </c>
      <c r="B156" s="927">
        <f>C156+D156+E156</f>
        <v>3088230</v>
      </c>
      <c r="C156" s="928"/>
      <c r="D156" s="928">
        <f>3058230+30000</f>
        <v>3088230</v>
      </c>
      <c r="E156" s="929"/>
    </row>
    <row r="157" spans="1:5" x14ac:dyDescent="0.25">
      <c r="A157" s="1064" t="s">
        <v>513</v>
      </c>
      <c r="B157" s="930">
        <f>C157+D157+E157</f>
        <v>0</v>
      </c>
      <c r="C157" s="931"/>
      <c r="D157" s="931"/>
      <c r="E157" s="931"/>
    </row>
    <row r="158" spans="1:5" x14ac:dyDescent="0.25">
      <c r="A158" s="1065" t="s">
        <v>896</v>
      </c>
      <c r="B158" s="932">
        <f>C158+D158+E158</f>
        <v>9114762</v>
      </c>
      <c r="C158" s="933"/>
      <c r="D158" s="933">
        <v>9114762</v>
      </c>
      <c r="E158" s="933"/>
    </row>
    <row r="159" spans="1:5" x14ac:dyDescent="0.25">
      <c r="A159" s="1065" t="s">
        <v>109</v>
      </c>
      <c r="B159" s="932">
        <f>C159+D159+E159</f>
        <v>0</v>
      </c>
      <c r="C159" s="933"/>
      <c r="D159" s="933"/>
      <c r="E159" s="933"/>
    </row>
    <row r="160" spans="1:5" ht="13.8" thickBot="1" x14ac:dyDescent="0.3">
      <c r="A160" s="1065" t="s">
        <v>980</v>
      </c>
      <c r="B160" s="932">
        <f>C160+D160+E160</f>
        <v>0</v>
      </c>
      <c r="C160" s="933"/>
      <c r="D160" s="933"/>
      <c r="E160" s="933"/>
    </row>
    <row r="161" spans="1:5" ht="13.8" thickBot="1" x14ac:dyDescent="0.3">
      <c r="A161" s="1066" t="s">
        <v>515</v>
      </c>
      <c r="B161" s="934">
        <f>B156+SUM(B158:B160)</f>
        <v>12202992</v>
      </c>
      <c r="C161" s="934">
        <f>C156+SUM(C158:C160)</f>
        <v>0</v>
      </c>
      <c r="D161" s="934">
        <f>D156+SUM(D158:D160)</f>
        <v>12202992</v>
      </c>
      <c r="E161" s="935">
        <f>E156+SUM(E158:E160)</f>
        <v>0</v>
      </c>
    </row>
    <row r="162" spans="1:5" x14ac:dyDescent="0.25">
      <c r="A162" s="1067" t="s">
        <v>516</v>
      </c>
      <c r="B162" s="927">
        <f t="shared" ref="B162:B167" si="4">C162+D162+E162</f>
        <v>0</v>
      </c>
      <c r="C162" s="928"/>
      <c r="D162" s="928"/>
      <c r="E162" s="929"/>
    </row>
    <row r="163" spans="1:5" x14ac:dyDescent="0.25">
      <c r="A163" s="1068" t="s">
        <v>517</v>
      </c>
      <c r="B163" s="932">
        <f t="shared" si="4"/>
        <v>12122993</v>
      </c>
      <c r="C163" s="933"/>
      <c r="D163" s="933">
        <f>9566068+2556925</f>
        <v>12122993</v>
      </c>
      <c r="E163" s="933"/>
    </row>
    <row r="164" spans="1:5" x14ac:dyDescent="0.25">
      <c r="A164" s="1068" t="s">
        <v>518</v>
      </c>
      <c r="B164" s="1255">
        <f t="shared" si="4"/>
        <v>79999</v>
      </c>
      <c r="C164" s="933"/>
      <c r="D164" s="1073">
        <f>46811+3188+30000</f>
        <v>79999</v>
      </c>
      <c r="E164" s="933"/>
    </row>
    <row r="165" spans="1:5" x14ac:dyDescent="0.25">
      <c r="A165" s="1068" t="s">
        <v>519</v>
      </c>
      <c r="B165" s="932">
        <f t="shared" si="4"/>
        <v>0</v>
      </c>
      <c r="C165" s="933"/>
      <c r="D165" s="933"/>
      <c r="E165" s="933"/>
    </row>
    <row r="166" spans="1:5" x14ac:dyDescent="0.25">
      <c r="A166" s="1071" t="s">
        <v>520</v>
      </c>
      <c r="B166" s="932">
        <f t="shared" si="4"/>
        <v>0</v>
      </c>
      <c r="C166" s="937"/>
      <c r="D166" s="937">
        <v>0</v>
      </c>
      <c r="E166" s="937"/>
    </row>
    <row r="167" spans="1:5" ht="13.8" thickBot="1" x14ac:dyDescent="0.3">
      <c r="A167" s="1069" t="s">
        <v>897</v>
      </c>
      <c r="B167" s="936">
        <f t="shared" si="4"/>
        <v>0</v>
      </c>
      <c r="C167" s="937"/>
      <c r="D167" s="937"/>
      <c r="E167" s="938"/>
    </row>
    <row r="168" spans="1:5" ht="13.8" thickBot="1" x14ac:dyDescent="0.3">
      <c r="A168" s="1070" t="s">
        <v>97</v>
      </c>
      <c r="B168" s="934">
        <f>SUM(B162:B167)</f>
        <v>12202992</v>
      </c>
      <c r="C168" s="934">
        <f>SUM(C162:C167)</f>
        <v>0</v>
      </c>
      <c r="D168" s="934">
        <f>SUM(D162:D167)</f>
        <v>12202992</v>
      </c>
      <c r="E168" s="935">
        <f>SUM(E162:E167)</f>
        <v>0</v>
      </c>
    </row>
  </sheetData>
  <mergeCells count="66">
    <mergeCell ref="D132:D133"/>
    <mergeCell ref="E132:E133"/>
    <mergeCell ref="A87:E87"/>
    <mergeCell ref="A89:A92"/>
    <mergeCell ref="B89:E89"/>
    <mergeCell ref="B90:B92"/>
    <mergeCell ref="C90:E90"/>
    <mergeCell ref="C91:C92"/>
    <mergeCell ref="D91:D92"/>
    <mergeCell ref="E91:E92"/>
    <mergeCell ref="A45:E45"/>
    <mergeCell ref="A47:A50"/>
    <mergeCell ref="B47:E47"/>
    <mergeCell ref="B48:B50"/>
    <mergeCell ref="C48:E48"/>
    <mergeCell ref="C49:C50"/>
    <mergeCell ref="D49:D50"/>
    <mergeCell ref="E49:E50"/>
    <mergeCell ref="A1:E1"/>
    <mergeCell ref="A4:E4"/>
    <mergeCell ref="A24:E24"/>
    <mergeCell ref="A26:A29"/>
    <mergeCell ref="B26:E26"/>
    <mergeCell ref="B27:B29"/>
    <mergeCell ref="C27:E27"/>
    <mergeCell ref="C28:C29"/>
    <mergeCell ref="D28:D29"/>
    <mergeCell ref="E28:E29"/>
    <mergeCell ref="A2:E2"/>
    <mergeCell ref="A6:A9"/>
    <mergeCell ref="B6:E6"/>
    <mergeCell ref="B7:B9"/>
    <mergeCell ref="C7:E7"/>
    <mergeCell ref="C8:C9"/>
    <mergeCell ref="D8:D9"/>
    <mergeCell ref="E8:E9"/>
    <mergeCell ref="A108:E108"/>
    <mergeCell ref="A110:A113"/>
    <mergeCell ref="B110:E110"/>
    <mergeCell ref="B111:B113"/>
    <mergeCell ref="C111:E111"/>
    <mergeCell ref="C112:C113"/>
    <mergeCell ref="D112:D113"/>
    <mergeCell ref="E112:E113"/>
    <mergeCell ref="A66:E66"/>
    <mergeCell ref="A68:A71"/>
    <mergeCell ref="B68:E68"/>
    <mergeCell ref="B69:B71"/>
    <mergeCell ref="C69:E69"/>
    <mergeCell ref="C70:C71"/>
    <mergeCell ref="D70:D71"/>
    <mergeCell ref="E70:E71"/>
    <mergeCell ref="A149:E149"/>
    <mergeCell ref="A151:A154"/>
    <mergeCell ref="B151:E151"/>
    <mergeCell ref="B152:B154"/>
    <mergeCell ref="C152:E152"/>
    <mergeCell ref="C153:C154"/>
    <mergeCell ref="D153:D154"/>
    <mergeCell ref="E153:E154"/>
    <mergeCell ref="A128:E128"/>
    <mergeCell ref="A130:A133"/>
    <mergeCell ref="B130:E130"/>
    <mergeCell ref="B131:B133"/>
    <mergeCell ref="C131:E131"/>
    <mergeCell ref="C132:C13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59" orientation="portrait" r:id="rId1"/>
  <headerFooter alignWithMargins="0"/>
  <rowBreaks count="2" manualBreakCount="2">
    <brk id="42" max="16383" man="1"/>
    <brk id="8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zoomScale="115" zoomScaleNormal="115" zoomScaleSheetLayoutView="85" workbookViewId="0">
      <selection activeCell="D1" sqref="D1:F1048576"/>
    </sheetView>
  </sheetViews>
  <sheetFormatPr defaultColWidth="9.33203125" defaultRowHeight="13.2" x14ac:dyDescent="0.25"/>
  <cols>
    <col min="1" max="1" width="19.44140625" style="630" customWidth="1"/>
    <col min="2" max="2" width="72" style="329" customWidth="1"/>
    <col min="3" max="3" width="25" style="163" customWidth="1"/>
    <col min="4" max="4" width="16.6640625" style="605" hidden="1" customWidth="1"/>
    <col min="5" max="5" width="11.77734375" style="605" hidden="1" customWidth="1"/>
    <col min="6" max="6" width="12" style="604" hidden="1" customWidth="1"/>
    <col min="7" max="7" width="9.33203125" style="301"/>
    <col min="8" max="8" width="13" style="301" hidden="1" customWidth="1"/>
    <col min="9" max="16384" width="9.33203125" style="301"/>
  </cols>
  <sheetData>
    <row r="1" spans="1:7" x14ac:dyDescent="0.25">
      <c r="A1" s="1334" t="str">
        <f>CONCATENATE("10. melléklet"," ",ALAPADATOK!A7," ",ALAPADATOK!B7," ",ALAPADATOK!C7," ",ALAPADATOK!D7," ",ALAPADATOK!E7," ",ALAPADATOK!F7," ",ALAPADATOK!G7," ",ALAPADATOK!H7)</f>
        <v>10. melléklet a …. / 2024. ( .... ) önkormányzati rendelethez</v>
      </c>
      <c r="B1" s="1334"/>
      <c r="C1" s="1334"/>
    </row>
    <row r="2" spans="1:7" x14ac:dyDescent="0.25">
      <c r="A2" s="887"/>
      <c r="B2" s="887"/>
      <c r="C2" s="642"/>
    </row>
    <row r="3" spans="1:7" s="1" customFormat="1" ht="16.5" customHeight="1" thickBot="1" x14ac:dyDescent="0.3">
      <c r="A3" s="1290" t="s">
        <v>844</v>
      </c>
      <c r="B3" s="1290"/>
      <c r="C3" s="1290"/>
      <c r="D3" s="605"/>
      <c r="E3" s="605"/>
      <c r="F3" s="604"/>
    </row>
    <row r="4" spans="1:7" ht="13.8" thickBot="1" x14ac:dyDescent="0.3">
      <c r="A4" s="172" t="s">
        <v>153</v>
      </c>
      <c r="B4" s="79" t="s">
        <v>50</v>
      </c>
      <c r="C4" s="154" t="s">
        <v>845</v>
      </c>
    </row>
    <row r="5" spans="1:7" s="32" customFormat="1" ht="12.9" customHeight="1" thickBot="1" x14ac:dyDescent="0.3">
      <c r="A5" s="71" t="s">
        <v>382</v>
      </c>
      <c r="B5" s="72" t="s">
        <v>383</v>
      </c>
      <c r="C5" s="73" t="s">
        <v>384</v>
      </c>
      <c r="D5" s="605"/>
      <c r="E5" s="605"/>
      <c r="F5" s="322"/>
    </row>
    <row r="6" spans="1:7" s="32" customFormat="1" ht="15.9" customHeight="1" thickBot="1" x14ac:dyDescent="0.3">
      <c r="A6" s="81"/>
      <c r="B6" s="82" t="s">
        <v>52</v>
      </c>
      <c r="C6" s="155"/>
      <c r="D6" s="605"/>
      <c r="E6" s="605"/>
      <c r="F6" s="322"/>
    </row>
    <row r="7" spans="1:7" s="32" customFormat="1" ht="12.15" customHeight="1" thickBot="1" x14ac:dyDescent="0.3">
      <c r="A7" s="25" t="s">
        <v>16</v>
      </c>
      <c r="B7" s="18" t="s">
        <v>179</v>
      </c>
      <c r="C7" s="255">
        <f t="shared" ref="C7" si="0">+C8+C9+C10+C13+C14+C15</f>
        <v>2356863895</v>
      </c>
      <c r="D7" s="323">
        <f>'15. sz. mell. Önk.'!C7+'16. sz. mell. Önk.'!C7</f>
        <v>2356863895</v>
      </c>
      <c r="E7" s="323">
        <f t="shared" ref="E7:E71" si="1">C7-D7</f>
        <v>0</v>
      </c>
      <c r="F7" s="322">
        <f>C7-D7</f>
        <v>0</v>
      </c>
    </row>
    <row r="8" spans="1:7" s="38" customFormat="1" ht="12.15" customHeight="1" thickBot="1" x14ac:dyDescent="0.25">
      <c r="A8" s="193" t="s">
        <v>85</v>
      </c>
      <c r="B8" s="180" t="s">
        <v>180</v>
      </c>
      <c r="C8" s="214">
        <v>335527915</v>
      </c>
      <c r="D8" s="323">
        <f>'15. sz. mell. Önk.'!C8+'16. sz. mell. Önk.'!C8</f>
        <v>335527915</v>
      </c>
      <c r="E8" s="324">
        <f t="shared" si="1"/>
        <v>0</v>
      </c>
      <c r="F8" s="322">
        <f t="shared" ref="F8:F72" si="2">C8-D8</f>
        <v>0</v>
      </c>
    </row>
    <row r="9" spans="1:7" s="39" customFormat="1" ht="12.15" customHeight="1" thickBot="1" x14ac:dyDescent="0.25">
      <c r="A9" s="194" t="s">
        <v>86</v>
      </c>
      <c r="B9" s="181" t="s">
        <v>181</v>
      </c>
      <c r="C9" s="114">
        <v>495393274</v>
      </c>
      <c r="D9" s="323">
        <f>'15. sz. mell. Önk.'!C9+'16. sz. mell. Önk.'!C9</f>
        <v>495393274</v>
      </c>
      <c r="E9" s="325">
        <f t="shared" si="1"/>
        <v>0</v>
      </c>
      <c r="F9" s="322">
        <f t="shared" si="2"/>
        <v>0</v>
      </c>
    </row>
    <row r="10" spans="1:7" s="39" customFormat="1" ht="12.15" customHeight="1" thickBot="1" x14ac:dyDescent="0.25">
      <c r="A10" s="194" t="s">
        <v>87</v>
      </c>
      <c r="B10" s="181" t="s">
        <v>696</v>
      </c>
      <c r="C10" s="114">
        <f t="shared" ref="C10" si="3">SUM(C11:C12)</f>
        <v>1253331368</v>
      </c>
      <c r="D10" s="323">
        <f>'15. sz. mell. Önk.'!C10+'16. sz. mell. Önk.'!C10</f>
        <v>1253331368</v>
      </c>
      <c r="E10" s="325">
        <f t="shared" si="1"/>
        <v>0</v>
      </c>
      <c r="F10" s="322">
        <f t="shared" si="2"/>
        <v>0</v>
      </c>
      <c r="G10" s="975"/>
    </row>
    <row r="11" spans="1:7" s="39" customFormat="1" ht="12.15" customHeight="1" thickBot="1" x14ac:dyDescent="0.25">
      <c r="A11" s="194" t="s">
        <v>694</v>
      </c>
      <c r="B11" s="181" t="s">
        <v>697</v>
      </c>
      <c r="C11" s="114">
        <v>897445406</v>
      </c>
      <c r="D11" s="323">
        <f>'15. sz. mell. Önk.'!C11+'16. sz. mell. Önk.'!C11</f>
        <v>897445406</v>
      </c>
      <c r="E11" s="325">
        <f t="shared" si="1"/>
        <v>0</v>
      </c>
      <c r="F11" s="322">
        <f t="shared" si="2"/>
        <v>0</v>
      </c>
    </row>
    <row r="12" spans="1:7" s="39" customFormat="1" ht="12.15" customHeight="1" thickBot="1" x14ac:dyDescent="0.25">
      <c r="A12" s="194" t="s">
        <v>695</v>
      </c>
      <c r="B12" s="181" t="s">
        <v>698</v>
      </c>
      <c r="C12" s="114">
        <v>355885962</v>
      </c>
      <c r="D12" s="323">
        <f>'15. sz. mell. Önk.'!C12+'16. sz. mell. Önk.'!C12</f>
        <v>355885962</v>
      </c>
      <c r="E12" s="325">
        <f t="shared" si="1"/>
        <v>0</v>
      </c>
      <c r="F12" s="322">
        <f t="shared" si="2"/>
        <v>0</v>
      </c>
    </row>
    <row r="13" spans="1:7" s="39" customFormat="1" ht="12.15" customHeight="1" thickBot="1" x14ac:dyDescent="0.25">
      <c r="A13" s="194" t="s">
        <v>88</v>
      </c>
      <c r="B13" s="181" t="s">
        <v>183</v>
      </c>
      <c r="C13" s="114">
        <v>59224282</v>
      </c>
      <c r="D13" s="323">
        <f>'15. sz. mell. Önk.'!C13+'16. sz. mell. Önk.'!C13</f>
        <v>59224282</v>
      </c>
      <c r="E13" s="325">
        <f t="shared" si="1"/>
        <v>0</v>
      </c>
      <c r="F13" s="322">
        <f t="shared" si="2"/>
        <v>0</v>
      </c>
    </row>
    <row r="14" spans="1:7" s="39" customFormat="1" ht="12.15" customHeight="1" thickBot="1" x14ac:dyDescent="0.25">
      <c r="A14" s="194" t="s">
        <v>111</v>
      </c>
      <c r="B14" s="181" t="s">
        <v>443</v>
      </c>
      <c r="C14" s="114">
        <f>208998826+30000+1300000+3058230</f>
        <v>213387056</v>
      </c>
      <c r="D14" s="323">
        <f>'15. sz. mell. Önk.'!C14+'16. sz. mell. Önk.'!C14</f>
        <v>213387056</v>
      </c>
      <c r="E14" s="325">
        <f>C14-D14</f>
        <v>0</v>
      </c>
      <c r="F14" s="322">
        <f>C14-D14</f>
        <v>0</v>
      </c>
    </row>
    <row r="15" spans="1:7" s="38" customFormat="1" ht="12.15" customHeight="1" thickBot="1" x14ac:dyDescent="0.25">
      <c r="A15" s="195" t="s">
        <v>89</v>
      </c>
      <c r="B15" s="182" t="s">
        <v>386</v>
      </c>
      <c r="C15" s="246"/>
      <c r="D15" s="323">
        <f>'15. sz. mell. Önk.'!C15+'16. sz. mell. Önk.'!C15</f>
        <v>0</v>
      </c>
      <c r="E15" s="326">
        <f t="shared" si="1"/>
        <v>0</v>
      </c>
      <c r="F15" s="322">
        <f t="shared" si="2"/>
        <v>0</v>
      </c>
    </row>
    <row r="16" spans="1:7" s="38" customFormat="1" ht="12.15" customHeight="1" thickBot="1" x14ac:dyDescent="0.3">
      <c r="A16" s="25" t="s">
        <v>17</v>
      </c>
      <c r="B16" s="105" t="s">
        <v>184</v>
      </c>
      <c r="C16" s="255">
        <f t="shared" ref="C16" si="4">+C17+C18+C19+C20+C21</f>
        <v>331189983</v>
      </c>
      <c r="D16" s="323">
        <f>'15. sz. mell. Önk.'!C16+'16. sz. mell. Önk.'!C16</f>
        <v>331189983</v>
      </c>
      <c r="E16" s="323">
        <f t="shared" si="1"/>
        <v>0</v>
      </c>
      <c r="F16" s="322">
        <f t="shared" si="2"/>
        <v>0</v>
      </c>
    </row>
    <row r="17" spans="1:8" s="38" customFormat="1" ht="12.15" customHeight="1" thickBot="1" x14ac:dyDescent="0.25">
      <c r="A17" s="193" t="s">
        <v>91</v>
      </c>
      <c r="B17" s="180" t="s">
        <v>185</v>
      </c>
      <c r="C17" s="639"/>
      <c r="D17" s="323">
        <f>'15. sz. mell. Önk.'!C17+'16. sz. mell. Önk.'!C17</f>
        <v>0</v>
      </c>
      <c r="E17" s="324">
        <f t="shared" si="1"/>
        <v>0</v>
      </c>
      <c r="F17" s="322">
        <f t="shared" si="2"/>
        <v>0</v>
      </c>
    </row>
    <row r="18" spans="1:8" s="38" customFormat="1" ht="12.15" customHeight="1" thickBot="1" x14ac:dyDescent="0.25">
      <c r="A18" s="194" t="s">
        <v>92</v>
      </c>
      <c r="B18" s="181" t="s">
        <v>186</v>
      </c>
      <c r="C18" s="246"/>
      <c r="D18" s="323">
        <f>'15. sz. mell. Önk.'!C18+'16. sz. mell. Önk.'!C18</f>
        <v>0</v>
      </c>
      <c r="E18" s="325">
        <f t="shared" si="1"/>
        <v>0</v>
      </c>
      <c r="F18" s="322">
        <f t="shared" si="2"/>
        <v>0</v>
      </c>
    </row>
    <row r="19" spans="1:8" s="38" customFormat="1" ht="12.15" customHeight="1" thickBot="1" x14ac:dyDescent="0.25">
      <c r="A19" s="194" t="s">
        <v>93</v>
      </c>
      <c r="B19" s="181" t="s">
        <v>352</v>
      </c>
      <c r="C19" s="246"/>
      <c r="D19" s="323">
        <f>'15. sz. mell. Önk.'!C19+'16. sz. mell. Önk.'!C19</f>
        <v>0</v>
      </c>
      <c r="E19" s="325">
        <f t="shared" si="1"/>
        <v>0</v>
      </c>
      <c r="F19" s="322">
        <f t="shared" si="2"/>
        <v>0</v>
      </c>
    </row>
    <row r="20" spans="1:8" s="38" customFormat="1" ht="12.15" customHeight="1" thickBot="1" x14ac:dyDescent="0.25">
      <c r="A20" s="194" t="s">
        <v>94</v>
      </c>
      <c r="B20" s="181" t="s">
        <v>353</v>
      </c>
      <c r="C20" s="246"/>
      <c r="D20" s="323">
        <f>'15. sz. mell. Önk.'!C20+'16. sz. mell. Önk.'!C20</f>
        <v>0</v>
      </c>
      <c r="E20" s="325">
        <f t="shared" si="1"/>
        <v>0</v>
      </c>
      <c r="F20" s="322">
        <f t="shared" si="2"/>
        <v>0</v>
      </c>
    </row>
    <row r="21" spans="1:8" s="38" customFormat="1" ht="12.15" customHeight="1" thickBot="1" x14ac:dyDescent="0.25">
      <c r="A21" s="194" t="s">
        <v>95</v>
      </c>
      <c r="B21" s="181" t="s">
        <v>187</v>
      </c>
      <c r="C21" s="1258">
        <f>308655424+37499+22497060</f>
        <v>331189983</v>
      </c>
      <c r="D21" s="323">
        <f>'15. sz. mell. Önk.'!C21+'16. sz. mell. Önk.'!C21</f>
        <v>331189983</v>
      </c>
      <c r="E21" s="325">
        <f t="shared" si="1"/>
        <v>0</v>
      </c>
      <c r="F21" s="322">
        <f t="shared" si="2"/>
        <v>0</v>
      </c>
    </row>
    <row r="22" spans="1:8" s="39" customFormat="1" ht="12.15" customHeight="1" thickBot="1" x14ac:dyDescent="0.25">
      <c r="A22" s="195" t="s">
        <v>104</v>
      </c>
      <c r="B22" s="182" t="s">
        <v>188</v>
      </c>
      <c r="C22" s="249">
        <f>23087532+37499</f>
        <v>23125031</v>
      </c>
      <c r="D22" s="323">
        <f>'15. sz. mell. Önk.'!C22+'16. sz. mell. Önk.'!C22</f>
        <v>23125031</v>
      </c>
      <c r="E22" s="326">
        <f t="shared" si="1"/>
        <v>0</v>
      </c>
      <c r="F22" s="322">
        <f t="shared" si="2"/>
        <v>0</v>
      </c>
    </row>
    <row r="23" spans="1:8" s="39" customFormat="1" ht="12.15" customHeight="1" thickBot="1" x14ac:dyDescent="0.3">
      <c r="A23" s="25" t="s">
        <v>18</v>
      </c>
      <c r="B23" s="18" t="s">
        <v>189</v>
      </c>
      <c r="C23" s="255">
        <f t="shared" ref="C23" si="5">+C24+C25+C26+C27+C28</f>
        <v>189350492</v>
      </c>
      <c r="D23" s="323">
        <f>'15. sz. mell. Önk.'!C23+'16. sz. mell. Önk.'!C23</f>
        <v>189350492</v>
      </c>
      <c r="E23" s="323">
        <f t="shared" si="1"/>
        <v>0</v>
      </c>
      <c r="F23" s="322">
        <f t="shared" si="2"/>
        <v>0</v>
      </c>
    </row>
    <row r="24" spans="1:8" s="39" customFormat="1" ht="12.15" customHeight="1" thickBot="1" x14ac:dyDescent="0.25">
      <c r="A24" s="193" t="s">
        <v>74</v>
      </c>
      <c r="B24" s="180" t="s">
        <v>190</v>
      </c>
      <c r="C24" s="639"/>
      <c r="D24" s="323">
        <f>'15. sz. mell. Önk.'!C24+'16. sz. mell. Önk.'!C24</f>
        <v>0</v>
      </c>
      <c r="E24" s="324">
        <f t="shared" si="1"/>
        <v>0</v>
      </c>
      <c r="F24" s="322">
        <f t="shared" si="2"/>
        <v>0</v>
      </c>
    </row>
    <row r="25" spans="1:8" s="38" customFormat="1" ht="12.15" customHeight="1" thickBot="1" x14ac:dyDescent="0.25">
      <c r="A25" s="194" t="s">
        <v>75</v>
      </c>
      <c r="B25" s="181" t="s">
        <v>191</v>
      </c>
      <c r="C25" s="246"/>
      <c r="D25" s="323">
        <f>'15. sz. mell. Önk.'!C25+'16. sz. mell. Önk.'!C25</f>
        <v>0</v>
      </c>
      <c r="E25" s="325">
        <f t="shared" si="1"/>
        <v>0</v>
      </c>
      <c r="F25" s="322">
        <f t="shared" si="2"/>
        <v>0</v>
      </c>
    </row>
    <row r="26" spans="1:8" s="39" customFormat="1" ht="12.15" customHeight="1" thickBot="1" x14ac:dyDescent="0.25">
      <c r="A26" s="194" t="s">
        <v>76</v>
      </c>
      <c r="B26" s="181" t="s">
        <v>354</v>
      </c>
      <c r="C26" s="246"/>
      <c r="D26" s="323">
        <f>'15. sz. mell. Önk.'!C26+'16. sz. mell. Önk.'!C26</f>
        <v>0</v>
      </c>
      <c r="E26" s="325">
        <f t="shared" si="1"/>
        <v>0</v>
      </c>
      <c r="F26" s="322">
        <f t="shared" si="2"/>
        <v>0</v>
      </c>
    </row>
    <row r="27" spans="1:8" s="39" customFormat="1" ht="12.15" customHeight="1" thickBot="1" x14ac:dyDescent="0.25">
      <c r="A27" s="194" t="s">
        <v>77</v>
      </c>
      <c r="B27" s="181" t="s">
        <v>355</v>
      </c>
      <c r="C27" s="246"/>
      <c r="D27" s="323">
        <f>'15. sz. mell. Önk.'!C27+'16. sz. mell. Önk.'!C27</f>
        <v>0</v>
      </c>
      <c r="E27" s="325">
        <f t="shared" si="1"/>
        <v>0</v>
      </c>
      <c r="F27" s="322">
        <f t="shared" si="2"/>
        <v>0</v>
      </c>
    </row>
    <row r="28" spans="1:8" s="39" customFormat="1" ht="12.15" customHeight="1" thickBot="1" x14ac:dyDescent="0.25">
      <c r="A28" s="194" t="s">
        <v>122</v>
      </c>
      <c r="B28" s="181" t="s">
        <v>192</v>
      </c>
      <c r="C28" s="246">
        <f>180273229+9077263</f>
        <v>189350492</v>
      </c>
      <c r="D28" s="323">
        <f>'15. sz. mell. Önk.'!C28+'16. sz. mell. Önk.'!C28</f>
        <v>189350492</v>
      </c>
      <c r="E28" s="325">
        <f t="shared" si="1"/>
        <v>0</v>
      </c>
      <c r="F28" s="322">
        <f t="shared" si="2"/>
        <v>0</v>
      </c>
      <c r="H28" s="1006"/>
    </row>
    <row r="29" spans="1:8" s="39" customFormat="1" ht="12.15" customHeight="1" thickBot="1" x14ac:dyDescent="0.25">
      <c r="A29" s="195" t="s">
        <v>123</v>
      </c>
      <c r="B29" s="182" t="s">
        <v>193</v>
      </c>
      <c r="C29" s="249">
        <f>180273229+9077263</f>
        <v>189350492</v>
      </c>
      <c r="D29" s="323">
        <f>'15. sz. mell. Önk.'!C29+'16. sz. mell. Önk.'!C29</f>
        <v>189350492</v>
      </c>
      <c r="E29" s="326">
        <f t="shared" si="1"/>
        <v>0</v>
      </c>
      <c r="F29" s="322">
        <f t="shared" si="2"/>
        <v>0</v>
      </c>
    </row>
    <row r="30" spans="1:8" s="39" customFormat="1" ht="12.15" customHeight="1" thickBot="1" x14ac:dyDescent="0.3">
      <c r="A30" s="25" t="s">
        <v>124</v>
      </c>
      <c r="B30" s="18" t="s">
        <v>194</v>
      </c>
      <c r="C30" s="257">
        <f t="shared" ref="C30" si="6">+C31++C35+C36</f>
        <v>753676479</v>
      </c>
      <c r="D30" s="323">
        <f>'15. sz. mell. Önk.'!C30+'16. sz. mell. Önk.'!C30</f>
        <v>753676479</v>
      </c>
      <c r="E30" s="323">
        <f t="shared" si="1"/>
        <v>0</v>
      </c>
      <c r="F30" s="322">
        <f t="shared" si="2"/>
        <v>0</v>
      </c>
    </row>
    <row r="31" spans="1:8" s="39" customFormat="1" ht="12.15" customHeight="1" thickBot="1" x14ac:dyDescent="0.25">
      <c r="A31" s="193" t="s">
        <v>195</v>
      </c>
      <c r="B31" s="180" t="s">
        <v>553</v>
      </c>
      <c r="C31" s="1259">
        <f t="shared" ref="C31" si="7">SUM(C32:C33)</f>
        <v>729876479</v>
      </c>
      <c r="D31" s="323">
        <f>'15. sz. mell. Önk.'!C31+'16. sz. mell. Önk.'!C31</f>
        <v>729876479</v>
      </c>
      <c r="E31" s="324">
        <f t="shared" si="1"/>
        <v>0</v>
      </c>
      <c r="F31" s="322">
        <f t="shared" si="2"/>
        <v>0</v>
      </c>
    </row>
    <row r="32" spans="1:8" s="39" customFormat="1" ht="12.15" customHeight="1" thickBot="1" x14ac:dyDescent="0.25">
      <c r="A32" s="194" t="s">
        <v>196</v>
      </c>
      <c r="B32" s="181" t="s">
        <v>201</v>
      </c>
      <c r="C32" s="246">
        <v>95000000</v>
      </c>
      <c r="D32" s="323">
        <f>'15. sz. mell. Önk.'!C32+'16. sz. mell. Önk.'!C32</f>
        <v>95000000</v>
      </c>
      <c r="E32" s="325">
        <f t="shared" si="1"/>
        <v>0</v>
      </c>
      <c r="F32" s="322">
        <f t="shared" si="2"/>
        <v>0</v>
      </c>
    </row>
    <row r="33" spans="1:6" s="39" customFormat="1" ht="12.15" customHeight="1" thickBot="1" x14ac:dyDescent="0.25">
      <c r="A33" s="194" t="s">
        <v>197</v>
      </c>
      <c r="B33" s="232" t="s">
        <v>552</v>
      </c>
      <c r="C33" s="1258">
        <f>616000000+18876479</f>
        <v>634876479</v>
      </c>
      <c r="D33" s="323">
        <f>'15. sz. mell. Önk.'!C33+'16. sz. mell. Önk.'!C33</f>
        <v>634876479</v>
      </c>
      <c r="E33" s="325">
        <f t="shared" si="1"/>
        <v>0</v>
      </c>
      <c r="F33" s="322">
        <f t="shared" si="2"/>
        <v>0</v>
      </c>
    </row>
    <row r="34" spans="1:6" s="39" customFormat="1" ht="12.15" customHeight="1" thickBot="1" x14ac:dyDescent="0.25">
      <c r="A34" s="194" t="s">
        <v>198</v>
      </c>
      <c r="B34" s="181" t="s">
        <v>469</v>
      </c>
      <c r="C34" s="246"/>
      <c r="D34" s="323">
        <f>'15. sz. mell. Önk.'!C34+'16. sz. mell. Önk.'!C34</f>
        <v>0</v>
      </c>
      <c r="E34" s="325">
        <f t="shared" si="1"/>
        <v>0</v>
      </c>
      <c r="F34" s="322">
        <f t="shared" si="2"/>
        <v>0</v>
      </c>
    </row>
    <row r="35" spans="1:6" s="39" customFormat="1" ht="12.15" customHeight="1" thickBot="1" x14ac:dyDescent="0.25">
      <c r="A35" s="194" t="s">
        <v>199</v>
      </c>
      <c r="B35" s="181" t="s">
        <v>203</v>
      </c>
      <c r="C35" s="246">
        <f>1000000</f>
        <v>1000000</v>
      </c>
      <c r="D35" s="323">
        <f>'15. sz. mell. Önk.'!C35+'16. sz. mell. Önk.'!C35</f>
        <v>1000000</v>
      </c>
      <c r="E35" s="325">
        <f t="shared" si="1"/>
        <v>0</v>
      </c>
      <c r="F35" s="322">
        <f t="shared" si="2"/>
        <v>0</v>
      </c>
    </row>
    <row r="36" spans="1:6" s="39" customFormat="1" ht="12.15" customHeight="1" thickBot="1" x14ac:dyDescent="0.25">
      <c r="A36" s="195" t="s">
        <v>200</v>
      </c>
      <c r="B36" s="182" t="s">
        <v>204</v>
      </c>
      <c r="C36" s="249">
        <f>15000000+7800000</f>
        <v>22800000</v>
      </c>
      <c r="D36" s="323">
        <f>'15. sz. mell. Önk.'!C36+'16. sz. mell. Önk.'!C36</f>
        <v>22800000</v>
      </c>
      <c r="E36" s="326">
        <f t="shared" si="1"/>
        <v>0</v>
      </c>
      <c r="F36" s="322">
        <f t="shared" si="2"/>
        <v>0</v>
      </c>
    </row>
    <row r="37" spans="1:6" s="39" customFormat="1" ht="12.15" customHeight="1" thickBot="1" x14ac:dyDescent="0.3">
      <c r="A37" s="25" t="s">
        <v>20</v>
      </c>
      <c r="B37" s="18" t="s">
        <v>387</v>
      </c>
      <c r="C37" s="255">
        <f t="shared" ref="C37" si="8">SUM(C38:C48)</f>
        <v>99319168</v>
      </c>
      <c r="D37" s="323">
        <f>'15. sz. mell. Önk.'!C37+'16. sz. mell. Önk.'!C37</f>
        <v>99319168</v>
      </c>
      <c r="E37" s="323">
        <f t="shared" si="1"/>
        <v>0</v>
      </c>
      <c r="F37" s="322">
        <f t="shared" si="2"/>
        <v>0</v>
      </c>
    </row>
    <row r="38" spans="1:6" s="39" customFormat="1" ht="12.15" customHeight="1" thickBot="1" x14ac:dyDescent="0.25">
      <c r="A38" s="193" t="s">
        <v>78</v>
      </c>
      <c r="B38" s="180" t="s">
        <v>207</v>
      </c>
      <c r="C38" s="639"/>
      <c r="D38" s="323">
        <f>'15. sz. mell. Önk.'!C38+'16. sz. mell. Önk.'!C38</f>
        <v>0</v>
      </c>
      <c r="E38" s="324">
        <f t="shared" si="1"/>
        <v>0</v>
      </c>
      <c r="F38" s="322">
        <f t="shared" si="2"/>
        <v>0</v>
      </c>
    </row>
    <row r="39" spans="1:6" s="39" customFormat="1" ht="12.15" customHeight="1" thickBot="1" x14ac:dyDescent="0.25">
      <c r="A39" s="194" t="s">
        <v>79</v>
      </c>
      <c r="B39" s="181" t="s">
        <v>208</v>
      </c>
      <c r="C39" s="1258">
        <f>22141976+3878895</f>
        <v>26020871</v>
      </c>
      <c r="D39" s="323">
        <f>'15. sz. mell. Önk.'!C39+'16. sz. mell. Önk.'!C39</f>
        <v>26020871</v>
      </c>
      <c r="E39" s="325">
        <f t="shared" si="1"/>
        <v>0</v>
      </c>
      <c r="F39" s="322">
        <f t="shared" si="2"/>
        <v>0</v>
      </c>
    </row>
    <row r="40" spans="1:6" s="39" customFormat="1" ht="12.15" customHeight="1" thickBot="1" x14ac:dyDescent="0.25">
      <c r="A40" s="194" t="s">
        <v>80</v>
      </c>
      <c r="B40" s="181" t="s">
        <v>209</v>
      </c>
      <c r="C40" s="246">
        <v>18586443</v>
      </c>
      <c r="D40" s="323">
        <f>'15. sz. mell. Önk.'!C40+'16. sz. mell. Önk.'!C40</f>
        <v>18586443</v>
      </c>
      <c r="E40" s="325">
        <f t="shared" si="1"/>
        <v>0</v>
      </c>
      <c r="F40" s="322">
        <f t="shared" si="2"/>
        <v>0</v>
      </c>
    </row>
    <row r="41" spans="1:6" s="39" customFormat="1" ht="12.15" customHeight="1" thickBot="1" x14ac:dyDescent="0.25">
      <c r="A41" s="194" t="s">
        <v>126</v>
      </c>
      <c r="B41" s="181" t="s">
        <v>210</v>
      </c>
      <c r="C41" s="246">
        <v>3395000</v>
      </c>
      <c r="D41" s="323">
        <f>'15. sz. mell. Önk.'!C41+'16. sz. mell. Önk.'!C41</f>
        <v>3395000</v>
      </c>
      <c r="E41" s="325">
        <f t="shared" si="1"/>
        <v>0</v>
      </c>
      <c r="F41" s="322">
        <f t="shared" si="2"/>
        <v>0</v>
      </c>
    </row>
    <row r="42" spans="1:6" s="39" customFormat="1" ht="12.15" customHeight="1" thickBot="1" x14ac:dyDescent="0.25">
      <c r="A42" s="194" t="s">
        <v>127</v>
      </c>
      <c r="B42" s="181" t="s">
        <v>211</v>
      </c>
      <c r="C42" s="246"/>
      <c r="D42" s="323">
        <f>'15. sz. mell. Önk.'!C42+'16. sz. mell. Önk.'!C42</f>
        <v>0</v>
      </c>
      <c r="E42" s="325">
        <f t="shared" si="1"/>
        <v>0</v>
      </c>
      <c r="F42" s="322">
        <f t="shared" si="2"/>
        <v>0</v>
      </c>
    </row>
    <row r="43" spans="1:6" s="39" customFormat="1" ht="12.15" customHeight="1" thickBot="1" x14ac:dyDescent="0.25">
      <c r="A43" s="194" t="s">
        <v>128</v>
      </c>
      <c r="B43" s="181" t="s">
        <v>212</v>
      </c>
      <c r="C43" s="246">
        <f>11859324+1047302</f>
        <v>12906626</v>
      </c>
      <c r="D43" s="323">
        <f>'15. sz. mell. Önk.'!C43+'16. sz. mell. Önk.'!C43</f>
        <v>12906626</v>
      </c>
      <c r="E43" s="325">
        <f t="shared" si="1"/>
        <v>0</v>
      </c>
      <c r="F43" s="322">
        <f t="shared" si="2"/>
        <v>0</v>
      </c>
    </row>
    <row r="44" spans="1:6" s="39" customFormat="1" ht="12.15" customHeight="1" thickBot="1" x14ac:dyDescent="0.25">
      <c r="A44" s="194" t="s">
        <v>129</v>
      </c>
      <c r="B44" s="181" t="s">
        <v>213</v>
      </c>
      <c r="C44" s="1258">
        <f>37810228</f>
        <v>37810228</v>
      </c>
      <c r="D44" s="323">
        <f>'15. sz. mell. Önk.'!C44+'16. sz. mell. Önk.'!C44</f>
        <v>37810228</v>
      </c>
      <c r="E44" s="325">
        <f t="shared" si="1"/>
        <v>0</v>
      </c>
      <c r="F44" s="322">
        <f t="shared" si="2"/>
        <v>0</v>
      </c>
    </row>
    <row r="45" spans="1:6" s="39" customFormat="1" ht="12.15" customHeight="1" thickBot="1" x14ac:dyDescent="0.25">
      <c r="A45" s="194" t="s">
        <v>130</v>
      </c>
      <c r="B45" s="181" t="s">
        <v>214</v>
      </c>
      <c r="C45" s="1258"/>
      <c r="D45" s="323">
        <f>'15. sz. mell. Önk.'!C45+'16. sz. mell. Önk.'!C45</f>
        <v>0</v>
      </c>
      <c r="E45" s="325">
        <f t="shared" si="1"/>
        <v>0</v>
      </c>
      <c r="F45" s="322">
        <f t="shared" si="2"/>
        <v>0</v>
      </c>
    </row>
    <row r="46" spans="1:6" s="39" customFormat="1" ht="12.15" customHeight="1" thickBot="1" x14ac:dyDescent="0.25">
      <c r="A46" s="194" t="s">
        <v>205</v>
      </c>
      <c r="B46" s="181" t="s">
        <v>215</v>
      </c>
      <c r="C46" s="246"/>
      <c r="D46" s="323">
        <f>'15. sz. mell. Önk.'!C46+'16. sz. mell. Önk.'!C46</f>
        <v>0</v>
      </c>
      <c r="E46" s="325">
        <f t="shared" si="1"/>
        <v>0</v>
      </c>
      <c r="F46" s="322">
        <f t="shared" si="2"/>
        <v>0</v>
      </c>
    </row>
    <row r="47" spans="1:6" s="39" customFormat="1" ht="12.15" customHeight="1" thickBot="1" x14ac:dyDescent="0.25">
      <c r="A47" s="195" t="s">
        <v>206</v>
      </c>
      <c r="B47" s="182" t="s">
        <v>388</v>
      </c>
      <c r="C47" s="249"/>
      <c r="D47" s="323">
        <f>'15. sz. mell. Önk.'!C47+'16. sz. mell. Önk.'!C47</f>
        <v>0</v>
      </c>
      <c r="E47" s="325">
        <f t="shared" si="1"/>
        <v>0</v>
      </c>
      <c r="F47" s="322">
        <f t="shared" si="2"/>
        <v>0</v>
      </c>
    </row>
    <row r="48" spans="1:6" s="39" customFormat="1" ht="12.15" customHeight="1" thickBot="1" x14ac:dyDescent="0.25">
      <c r="A48" s="195" t="s">
        <v>389</v>
      </c>
      <c r="B48" s="182" t="s">
        <v>216</v>
      </c>
      <c r="C48" s="249">
        <v>600000</v>
      </c>
      <c r="D48" s="323">
        <f>'15. sz. mell. Önk.'!C48+'16. sz. mell. Önk.'!C48</f>
        <v>600000</v>
      </c>
      <c r="E48" s="326">
        <f t="shared" si="1"/>
        <v>0</v>
      </c>
      <c r="F48" s="322">
        <f t="shared" si="2"/>
        <v>0</v>
      </c>
    </row>
    <row r="49" spans="1:6" s="39" customFormat="1" ht="12.15" customHeight="1" thickBot="1" x14ac:dyDescent="0.3">
      <c r="A49" s="25" t="s">
        <v>21</v>
      </c>
      <c r="B49" s="18" t="s">
        <v>217</v>
      </c>
      <c r="C49" s="255">
        <f t="shared" ref="C49" si="9">SUM(C50:C54)</f>
        <v>20000000</v>
      </c>
      <c r="D49" s="323">
        <f>'15. sz. mell. Önk.'!C49+'16. sz. mell. Önk.'!C49</f>
        <v>20000000</v>
      </c>
      <c r="E49" s="323">
        <f t="shared" si="1"/>
        <v>0</v>
      </c>
      <c r="F49" s="322">
        <f t="shared" si="2"/>
        <v>0</v>
      </c>
    </row>
    <row r="50" spans="1:6" s="39" customFormat="1" ht="12.15" customHeight="1" thickBot="1" x14ac:dyDescent="0.25">
      <c r="A50" s="193" t="s">
        <v>81</v>
      </c>
      <c r="B50" s="180" t="s">
        <v>221</v>
      </c>
      <c r="C50" s="639"/>
      <c r="D50" s="323">
        <f>'15. sz. mell. Önk.'!C50+'16. sz. mell. Önk.'!C50</f>
        <v>0</v>
      </c>
      <c r="E50" s="324">
        <f t="shared" si="1"/>
        <v>0</v>
      </c>
      <c r="F50" s="322">
        <f t="shared" si="2"/>
        <v>0</v>
      </c>
    </row>
    <row r="51" spans="1:6" s="39" customFormat="1" ht="12.15" customHeight="1" thickBot="1" x14ac:dyDescent="0.25">
      <c r="A51" s="194" t="s">
        <v>82</v>
      </c>
      <c r="B51" s="181" t="s">
        <v>222</v>
      </c>
      <c r="C51" s="246">
        <v>20000000</v>
      </c>
      <c r="D51" s="323">
        <f>'15. sz. mell. Önk.'!C51+'16. sz. mell. Önk.'!C51</f>
        <v>20000000</v>
      </c>
      <c r="E51" s="325">
        <f t="shared" si="1"/>
        <v>0</v>
      </c>
      <c r="F51" s="322">
        <f t="shared" si="2"/>
        <v>0</v>
      </c>
    </row>
    <row r="52" spans="1:6" s="39" customFormat="1" ht="12.15" customHeight="1" thickBot="1" x14ac:dyDescent="0.25">
      <c r="A52" s="194" t="s">
        <v>218</v>
      </c>
      <c r="B52" s="181" t="s">
        <v>223</v>
      </c>
      <c r="C52" s="246"/>
      <c r="D52" s="323">
        <f>'15. sz. mell. Önk.'!C52+'16. sz. mell. Önk.'!C52</f>
        <v>0</v>
      </c>
      <c r="E52" s="325">
        <f t="shared" si="1"/>
        <v>0</v>
      </c>
      <c r="F52" s="322">
        <f t="shared" si="2"/>
        <v>0</v>
      </c>
    </row>
    <row r="53" spans="1:6" s="39" customFormat="1" ht="12.15" customHeight="1" thickBot="1" x14ac:dyDescent="0.25">
      <c r="A53" s="194" t="s">
        <v>219</v>
      </c>
      <c r="B53" s="181" t="s">
        <v>224</v>
      </c>
      <c r="C53" s="246"/>
      <c r="D53" s="323">
        <f>'15. sz. mell. Önk.'!C53+'16. sz. mell. Önk.'!C53</f>
        <v>0</v>
      </c>
      <c r="E53" s="325">
        <f t="shared" si="1"/>
        <v>0</v>
      </c>
      <c r="F53" s="322">
        <f t="shared" si="2"/>
        <v>0</v>
      </c>
    </row>
    <row r="54" spans="1:6" s="39" customFormat="1" ht="12.15" customHeight="1" thickBot="1" x14ac:dyDescent="0.25">
      <c r="A54" s="195" t="s">
        <v>220</v>
      </c>
      <c r="B54" s="182" t="s">
        <v>225</v>
      </c>
      <c r="C54" s="249"/>
      <c r="D54" s="323">
        <f>'15. sz. mell. Önk.'!C54+'16. sz. mell. Önk.'!C54</f>
        <v>0</v>
      </c>
      <c r="E54" s="326">
        <f t="shared" si="1"/>
        <v>0</v>
      </c>
      <c r="F54" s="322">
        <f t="shared" si="2"/>
        <v>0</v>
      </c>
    </row>
    <row r="55" spans="1:6" s="39" customFormat="1" ht="12.15" customHeight="1" thickBot="1" x14ac:dyDescent="0.3">
      <c r="A55" s="25" t="s">
        <v>131</v>
      </c>
      <c r="B55" s="18" t="s">
        <v>226</v>
      </c>
      <c r="C55" s="255">
        <f t="shared" ref="C55" si="10">SUM(C56:C58)</f>
        <v>1345000</v>
      </c>
      <c r="D55" s="323">
        <f>'15. sz. mell. Önk.'!C55+'16. sz. mell. Önk.'!C55</f>
        <v>1345000</v>
      </c>
      <c r="E55" s="323">
        <f t="shared" si="1"/>
        <v>0</v>
      </c>
      <c r="F55" s="322">
        <f t="shared" si="2"/>
        <v>0</v>
      </c>
    </row>
    <row r="56" spans="1:6" s="39" customFormat="1" ht="12.15" customHeight="1" thickBot="1" x14ac:dyDescent="0.25">
      <c r="A56" s="193" t="s">
        <v>83</v>
      </c>
      <c r="B56" s="180" t="s">
        <v>227</v>
      </c>
      <c r="C56" s="639">
        <v>50000</v>
      </c>
      <c r="D56" s="323">
        <f>'15. sz. mell. Önk.'!C56+'16. sz. mell. Önk.'!C56</f>
        <v>50000</v>
      </c>
      <c r="E56" s="324">
        <f t="shared" si="1"/>
        <v>0</v>
      </c>
      <c r="F56" s="322">
        <f t="shared" si="2"/>
        <v>0</v>
      </c>
    </row>
    <row r="57" spans="1:6" s="39" customFormat="1" ht="12.15" customHeight="1" thickBot="1" x14ac:dyDescent="0.25">
      <c r="A57" s="194" t="s">
        <v>84</v>
      </c>
      <c r="B57" s="181" t="s">
        <v>356</v>
      </c>
      <c r="C57" s="246">
        <v>200000</v>
      </c>
      <c r="D57" s="323">
        <f>'15. sz. mell. Önk.'!C57+'16. sz. mell. Önk.'!C57</f>
        <v>200000</v>
      </c>
      <c r="E57" s="325">
        <f t="shared" si="1"/>
        <v>0</v>
      </c>
      <c r="F57" s="322">
        <f t="shared" si="2"/>
        <v>0</v>
      </c>
    </row>
    <row r="58" spans="1:6" s="39" customFormat="1" ht="12.15" customHeight="1" thickBot="1" x14ac:dyDescent="0.25">
      <c r="A58" s="194" t="s">
        <v>230</v>
      </c>
      <c r="B58" s="181" t="s">
        <v>228</v>
      </c>
      <c r="C58" s="246">
        <v>1095000</v>
      </c>
      <c r="D58" s="323">
        <f>'15. sz. mell. Önk.'!C58+'16. sz. mell. Önk.'!C58</f>
        <v>1095000</v>
      </c>
      <c r="E58" s="325">
        <f t="shared" si="1"/>
        <v>0</v>
      </c>
      <c r="F58" s="322">
        <f t="shared" si="2"/>
        <v>0</v>
      </c>
    </row>
    <row r="59" spans="1:6" s="39" customFormat="1" ht="12.15" customHeight="1" thickBot="1" x14ac:dyDescent="0.25">
      <c r="A59" s="195" t="s">
        <v>231</v>
      </c>
      <c r="B59" s="182" t="s">
        <v>229</v>
      </c>
      <c r="C59" s="249"/>
      <c r="D59" s="323">
        <f>'15. sz. mell. Önk.'!C59+'16. sz. mell. Önk.'!C59</f>
        <v>0</v>
      </c>
      <c r="E59" s="326">
        <f t="shared" si="1"/>
        <v>0</v>
      </c>
      <c r="F59" s="322">
        <f t="shared" si="2"/>
        <v>0</v>
      </c>
    </row>
    <row r="60" spans="1:6" s="39" customFormat="1" ht="12.15" customHeight="1" thickBot="1" x14ac:dyDescent="0.3">
      <c r="A60" s="25" t="s">
        <v>23</v>
      </c>
      <c r="B60" s="105" t="s">
        <v>232</v>
      </c>
      <c r="C60" s="255">
        <f t="shared" ref="C60" si="11">SUM(C61:C63)</f>
        <v>0</v>
      </c>
      <c r="D60" s="323">
        <f>'15. sz. mell. Önk.'!C60+'16. sz. mell. Önk.'!C60</f>
        <v>0</v>
      </c>
      <c r="E60" s="323">
        <f t="shared" si="1"/>
        <v>0</v>
      </c>
      <c r="F60" s="322">
        <f t="shared" si="2"/>
        <v>0</v>
      </c>
    </row>
    <row r="61" spans="1:6" s="39" customFormat="1" ht="12.15" customHeight="1" thickBot="1" x14ac:dyDescent="0.25">
      <c r="A61" s="193" t="s">
        <v>132</v>
      </c>
      <c r="B61" s="180" t="s">
        <v>234</v>
      </c>
      <c r="C61" s="246"/>
      <c r="D61" s="323">
        <f>'15. sz. mell. Önk.'!C61+'16. sz. mell. Önk.'!C61</f>
        <v>0</v>
      </c>
      <c r="E61" s="324">
        <f t="shared" si="1"/>
        <v>0</v>
      </c>
      <c r="F61" s="322">
        <f t="shared" si="2"/>
        <v>0</v>
      </c>
    </row>
    <row r="62" spans="1:6" s="39" customFormat="1" ht="12.15" customHeight="1" thickBot="1" x14ac:dyDescent="0.25">
      <c r="A62" s="194" t="s">
        <v>133</v>
      </c>
      <c r="B62" s="181" t="s">
        <v>357</v>
      </c>
      <c r="C62" s="246"/>
      <c r="D62" s="323">
        <f>'15. sz. mell. Önk.'!C62+'16. sz. mell. Önk.'!C62</f>
        <v>0</v>
      </c>
      <c r="E62" s="325">
        <f t="shared" si="1"/>
        <v>0</v>
      </c>
      <c r="F62" s="322">
        <f t="shared" si="2"/>
        <v>0</v>
      </c>
    </row>
    <row r="63" spans="1:6" s="39" customFormat="1" ht="12.15" customHeight="1" thickBot="1" x14ac:dyDescent="0.25">
      <c r="A63" s="194" t="s">
        <v>158</v>
      </c>
      <c r="B63" s="181" t="s">
        <v>235</v>
      </c>
      <c r="C63" s="246"/>
      <c r="D63" s="323">
        <f>'15. sz. mell. Önk.'!C63+'16. sz. mell. Önk.'!C63</f>
        <v>0</v>
      </c>
      <c r="E63" s="325">
        <f t="shared" si="1"/>
        <v>0</v>
      </c>
      <c r="F63" s="322">
        <f t="shared" si="2"/>
        <v>0</v>
      </c>
    </row>
    <row r="64" spans="1:6" s="39" customFormat="1" ht="12.15" customHeight="1" thickBot="1" x14ac:dyDescent="0.25">
      <c r="A64" s="195" t="s">
        <v>233</v>
      </c>
      <c r="B64" s="182" t="s">
        <v>236</v>
      </c>
      <c r="C64" s="246"/>
      <c r="D64" s="323">
        <f>'15. sz. mell. Önk.'!C64+'16. sz. mell. Önk.'!C64</f>
        <v>0</v>
      </c>
      <c r="E64" s="326">
        <f t="shared" si="1"/>
        <v>0</v>
      </c>
      <c r="F64" s="322">
        <f t="shared" si="2"/>
        <v>0</v>
      </c>
    </row>
    <row r="65" spans="1:6" s="39" customFormat="1" ht="12.15" customHeight="1" thickBot="1" x14ac:dyDescent="0.3">
      <c r="A65" s="25" t="s">
        <v>24</v>
      </c>
      <c r="B65" s="18" t="s">
        <v>237</v>
      </c>
      <c r="C65" s="257">
        <f t="shared" ref="C65" si="12">+C7+C16+C23+C30+C37+C49+C55+C60</f>
        <v>3751745017</v>
      </c>
      <c r="D65" s="323">
        <f>'15. sz. mell. Önk.'!C65+'16. sz. mell. Önk.'!C65</f>
        <v>3751745017</v>
      </c>
      <c r="E65" s="323">
        <f t="shared" si="1"/>
        <v>0</v>
      </c>
      <c r="F65" s="322">
        <f t="shared" si="2"/>
        <v>0</v>
      </c>
    </row>
    <row r="66" spans="1:6" s="39" customFormat="1" ht="12.15" customHeight="1" thickBot="1" x14ac:dyDescent="0.25">
      <c r="A66" s="196" t="s">
        <v>327</v>
      </c>
      <c r="B66" s="105" t="s">
        <v>239</v>
      </c>
      <c r="C66" s="255">
        <f t="shared" ref="C66" si="13">SUM(C67:C69)</f>
        <v>1100000000</v>
      </c>
      <c r="D66" s="323">
        <f>'15. sz. mell. Önk.'!C66+'16. sz. mell. Önk.'!C66</f>
        <v>1100000000</v>
      </c>
      <c r="E66" s="323">
        <f t="shared" si="1"/>
        <v>0</v>
      </c>
      <c r="F66" s="322">
        <f t="shared" si="2"/>
        <v>0</v>
      </c>
    </row>
    <row r="67" spans="1:6" s="39" customFormat="1" ht="12.15" customHeight="1" thickBot="1" x14ac:dyDescent="0.25">
      <c r="A67" s="193" t="s">
        <v>270</v>
      </c>
      <c r="B67" s="180" t="s">
        <v>240</v>
      </c>
      <c r="C67" s="246"/>
      <c r="D67" s="323">
        <f>'15. sz. mell. Önk.'!C67+'16. sz. mell. Önk.'!C67</f>
        <v>0</v>
      </c>
      <c r="E67" s="324">
        <f t="shared" si="1"/>
        <v>0</v>
      </c>
      <c r="F67" s="322">
        <f t="shared" si="2"/>
        <v>0</v>
      </c>
    </row>
    <row r="68" spans="1:6" s="39" customFormat="1" ht="12.15" customHeight="1" thickBot="1" x14ac:dyDescent="0.25">
      <c r="A68" s="194" t="s">
        <v>279</v>
      </c>
      <c r="B68" s="181" t="s">
        <v>241</v>
      </c>
      <c r="C68" s="246">
        <v>1100000000</v>
      </c>
      <c r="D68" s="323">
        <f>'15. sz. mell. Önk.'!C68+'16. sz. mell. Önk.'!C68</f>
        <v>1100000000</v>
      </c>
      <c r="E68" s="325">
        <f t="shared" si="1"/>
        <v>0</v>
      </c>
      <c r="F68" s="322">
        <f t="shared" si="2"/>
        <v>0</v>
      </c>
    </row>
    <row r="69" spans="1:6" s="39" customFormat="1" ht="12.15" customHeight="1" thickBot="1" x14ac:dyDescent="0.25">
      <c r="A69" s="195" t="s">
        <v>280</v>
      </c>
      <c r="B69" s="183" t="s">
        <v>242</v>
      </c>
      <c r="C69" s="246"/>
      <c r="D69" s="323">
        <f>'15. sz. mell. Önk.'!C69+'16. sz. mell. Önk.'!C69</f>
        <v>0</v>
      </c>
      <c r="E69" s="326">
        <f t="shared" si="1"/>
        <v>0</v>
      </c>
      <c r="F69" s="322">
        <f t="shared" si="2"/>
        <v>0</v>
      </c>
    </row>
    <row r="70" spans="1:6" s="39" customFormat="1" ht="12.15" customHeight="1" thickBot="1" x14ac:dyDescent="0.25">
      <c r="A70" s="196" t="s">
        <v>243</v>
      </c>
      <c r="B70" s="105" t="s">
        <v>244</v>
      </c>
      <c r="C70" s="255">
        <f t="shared" ref="C70" si="14">SUM(C71:C74)</f>
        <v>0</v>
      </c>
      <c r="D70" s="323">
        <f>'15. sz. mell. Önk.'!C70+'16. sz. mell. Önk.'!C70</f>
        <v>0</v>
      </c>
      <c r="E70" s="323">
        <f t="shared" si="1"/>
        <v>0</v>
      </c>
      <c r="F70" s="322">
        <f t="shared" si="2"/>
        <v>0</v>
      </c>
    </row>
    <row r="71" spans="1:6" s="39" customFormat="1" ht="12.15" customHeight="1" thickBot="1" x14ac:dyDescent="0.25">
      <c r="A71" s="193" t="s">
        <v>112</v>
      </c>
      <c r="B71" s="180" t="s">
        <v>245</v>
      </c>
      <c r="C71" s="246"/>
      <c r="D71" s="323">
        <f>'15. sz. mell. Önk.'!C71+'16. sz. mell. Önk.'!C71</f>
        <v>0</v>
      </c>
      <c r="E71" s="324">
        <f t="shared" si="1"/>
        <v>0</v>
      </c>
      <c r="F71" s="322">
        <f t="shared" si="2"/>
        <v>0</v>
      </c>
    </row>
    <row r="72" spans="1:6" s="39" customFormat="1" ht="12.15" customHeight="1" thickBot="1" x14ac:dyDescent="0.25">
      <c r="A72" s="194" t="s">
        <v>113</v>
      </c>
      <c r="B72" s="181" t="s">
        <v>246</v>
      </c>
      <c r="C72" s="246"/>
      <c r="D72" s="323">
        <f>'15. sz. mell. Önk.'!C72+'16. sz. mell. Önk.'!C72</f>
        <v>0</v>
      </c>
      <c r="E72" s="325">
        <f t="shared" ref="E72:E90" si="15">C72-D72</f>
        <v>0</v>
      </c>
      <c r="F72" s="322">
        <f t="shared" si="2"/>
        <v>0</v>
      </c>
    </row>
    <row r="73" spans="1:6" s="39" customFormat="1" ht="12.15" customHeight="1" thickBot="1" x14ac:dyDescent="0.25">
      <c r="A73" s="194" t="s">
        <v>271</v>
      </c>
      <c r="B73" s="181" t="s">
        <v>247</v>
      </c>
      <c r="C73" s="246"/>
      <c r="D73" s="323">
        <f>'15. sz. mell. Önk.'!C73+'16. sz. mell. Önk.'!C73</f>
        <v>0</v>
      </c>
      <c r="E73" s="325">
        <f t="shared" si="15"/>
        <v>0</v>
      </c>
      <c r="F73" s="322">
        <f t="shared" ref="F73:F135" si="16">C73-D73</f>
        <v>0</v>
      </c>
    </row>
    <row r="74" spans="1:6" s="39" customFormat="1" ht="12.15" customHeight="1" thickBot="1" x14ac:dyDescent="0.25">
      <c r="A74" s="195" t="s">
        <v>272</v>
      </c>
      <c r="B74" s="182" t="s">
        <v>248</v>
      </c>
      <c r="C74" s="246"/>
      <c r="D74" s="323">
        <f>'15. sz. mell. Önk.'!C74+'16. sz. mell. Önk.'!C74</f>
        <v>0</v>
      </c>
      <c r="E74" s="326">
        <f t="shared" si="15"/>
        <v>0</v>
      </c>
      <c r="F74" s="322">
        <f t="shared" si="16"/>
        <v>0</v>
      </c>
    </row>
    <row r="75" spans="1:6" s="39" customFormat="1" ht="12.15" customHeight="1" thickBot="1" x14ac:dyDescent="0.25">
      <c r="A75" s="196" t="s">
        <v>249</v>
      </c>
      <c r="B75" s="105" t="s">
        <v>250</v>
      </c>
      <c r="C75" s="255">
        <f t="shared" ref="C75" si="17">SUM(C76:C77)</f>
        <v>1444475676</v>
      </c>
      <c r="D75" s="323">
        <f>'15. sz. mell. Önk.'!C75+'16. sz. mell. Önk.'!C75</f>
        <v>1444475676</v>
      </c>
      <c r="E75" s="323">
        <f t="shared" si="15"/>
        <v>0</v>
      </c>
      <c r="F75" s="322">
        <f t="shared" si="16"/>
        <v>0</v>
      </c>
    </row>
    <row r="76" spans="1:6" s="39" customFormat="1" ht="12.15" customHeight="1" thickBot="1" x14ac:dyDescent="0.25">
      <c r="A76" s="193" t="s">
        <v>273</v>
      </c>
      <c r="B76" s="180" t="s">
        <v>251</v>
      </c>
      <c r="C76" s="246">
        <f>1453279019-8803343</f>
        <v>1444475676</v>
      </c>
      <c r="D76" s="323">
        <f>'15. sz. mell. Önk.'!C76+'16. sz. mell. Önk.'!C76</f>
        <v>1444475676</v>
      </c>
      <c r="E76" s="324">
        <f t="shared" si="15"/>
        <v>0</v>
      </c>
      <c r="F76" s="322">
        <f t="shared" si="16"/>
        <v>0</v>
      </c>
    </row>
    <row r="77" spans="1:6" s="39" customFormat="1" ht="12.15" customHeight="1" thickBot="1" x14ac:dyDescent="0.25">
      <c r="A77" s="195" t="s">
        <v>274</v>
      </c>
      <c r="B77" s="182" t="s">
        <v>252</v>
      </c>
      <c r="C77" s="246"/>
      <c r="D77" s="323">
        <f>'15. sz. mell. Önk.'!C77+'16. sz. mell. Önk.'!C77</f>
        <v>0</v>
      </c>
      <c r="E77" s="326">
        <f t="shared" si="15"/>
        <v>0</v>
      </c>
      <c r="F77" s="322">
        <f t="shared" si="16"/>
        <v>0</v>
      </c>
    </row>
    <row r="78" spans="1:6" s="38" customFormat="1" ht="12.15" customHeight="1" thickBot="1" x14ac:dyDescent="0.25">
      <c r="A78" s="196" t="s">
        <v>253</v>
      </c>
      <c r="B78" s="105" t="s">
        <v>254</v>
      </c>
      <c r="C78" s="255">
        <f t="shared" ref="C78" si="18">SUM(C79:C81)</f>
        <v>67733205</v>
      </c>
      <c r="D78" s="323">
        <f>'15. sz. mell. Önk.'!C78+'16. sz. mell. Önk.'!C78</f>
        <v>67733205</v>
      </c>
      <c r="E78" s="323">
        <f t="shared" si="15"/>
        <v>0</v>
      </c>
      <c r="F78" s="322">
        <f t="shared" si="16"/>
        <v>0</v>
      </c>
    </row>
    <row r="79" spans="1:6" s="39" customFormat="1" ht="12.15" customHeight="1" thickBot="1" x14ac:dyDescent="0.25">
      <c r="A79" s="193" t="s">
        <v>275</v>
      </c>
      <c r="B79" s="180" t="s">
        <v>255</v>
      </c>
      <c r="C79" s="246">
        <v>67733205</v>
      </c>
      <c r="D79" s="323">
        <f>'15. sz. mell. Önk.'!C79+'16. sz. mell. Önk.'!C79</f>
        <v>67733205</v>
      </c>
      <c r="E79" s="324">
        <f t="shared" si="15"/>
        <v>0</v>
      </c>
      <c r="F79" s="322">
        <f t="shared" si="16"/>
        <v>0</v>
      </c>
    </row>
    <row r="80" spans="1:6" s="39" customFormat="1" ht="12.15" customHeight="1" thickBot="1" x14ac:dyDescent="0.25">
      <c r="A80" s="194" t="s">
        <v>276</v>
      </c>
      <c r="B80" s="181" t="s">
        <v>256</v>
      </c>
      <c r="C80" s="246"/>
      <c r="D80" s="323">
        <f>'15. sz. mell. Önk.'!C80+'16. sz. mell. Önk.'!C80</f>
        <v>0</v>
      </c>
      <c r="E80" s="325">
        <f t="shared" si="15"/>
        <v>0</v>
      </c>
      <c r="F80" s="322">
        <f t="shared" si="16"/>
        <v>0</v>
      </c>
    </row>
    <row r="81" spans="1:6" s="39" customFormat="1" ht="12.15" customHeight="1" thickBot="1" x14ac:dyDescent="0.25">
      <c r="A81" s="195" t="s">
        <v>277</v>
      </c>
      <c r="B81" s="182" t="s">
        <v>257</v>
      </c>
      <c r="C81" s="246"/>
      <c r="D81" s="323">
        <f>'15. sz. mell. Önk.'!C81+'16. sz. mell. Önk.'!C81</f>
        <v>0</v>
      </c>
      <c r="E81" s="326">
        <f t="shared" si="15"/>
        <v>0</v>
      </c>
      <c r="F81" s="322">
        <f t="shared" si="16"/>
        <v>0</v>
      </c>
    </row>
    <row r="82" spans="1:6" s="39" customFormat="1" ht="12.15" customHeight="1" thickBot="1" x14ac:dyDescent="0.25">
      <c r="A82" s="196" t="s">
        <v>258</v>
      </c>
      <c r="B82" s="105" t="s">
        <v>278</v>
      </c>
      <c r="C82" s="255">
        <f t="shared" ref="C82" si="19">SUM(C83:C86)</f>
        <v>0</v>
      </c>
      <c r="D82" s="323">
        <f>'15. sz. mell. Önk.'!C82+'16. sz. mell. Önk.'!C82</f>
        <v>0</v>
      </c>
      <c r="E82" s="323">
        <f t="shared" si="15"/>
        <v>0</v>
      </c>
      <c r="F82" s="322">
        <f t="shared" si="16"/>
        <v>0</v>
      </c>
    </row>
    <row r="83" spans="1:6" s="39" customFormat="1" ht="12.15" customHeight="1" thickBot="1" x14ac:dyDescent="0.25">
      <c r="A83" s="197" t="s">
        <v>259</v>
      </c>
      <c r="B83" s="180" t="s">
        <v>260</v>
      </c>
      <c r="C83" s="246"/>
      <c r="D83" s="323">
        <f>'15. sz. mell. Önk.'!C83+'16. sz. mell. Önk.'!C83</f>
        <v>0</v>
      </c>
      <c r="E83" s="324">
        <f t="shared" si="15"/>
        <v>0</v>
      </c>
      <c r="F83" s="322">
        <f t="shared" si="16"/>
        <v>0</v>
      </c>
    </row>
    <row r="84" spans="1:6" s="39" customFormat="1" ht="12.15" customHeight="1" thickBot="1" x14ac:dyDescent="0.25">
      <c r="A84" s="198" t="s">
        <v>261</v>
      </c>
      <c r="B84" s="181" t="s">
        <v>262</v>
      </c>
      <c r="C84" s="246"/>
      <c r="D84" s="323">
        <f>'15. sz. mell. Önk.'!C84+'16. sz. mell. Önk.'!C84</f>
        <v>0</v>
      </c>
      <c r="E84" s="325">
        <f t="shared" si="15"/>
        <v>0</v>
      </c>
      <c r="F84" s="322">
        <f t="shared" si="16"/>
        <v>0</v>
      </c>
    </row>
    <row r="85" spans="1:6" s="39" customFormat="1" ht="12.15" customHeight="1" thickBot="1" x14ac:dyDescent="0.25">
      <c r="A85" s="198" t="s">
        <v>263</v>
      </c>
      <c r="B85" s="181" t="s">
        <v>264</v>
      </c>
      <c r="C85" s="246"/>
      <c r="D85" s="323">
        <f>'15. sz. mell. Önk.'!C85+'16. sz. mell. Önk.'!C85</f>
        <v>0</v>
      </c>
      <c r="E85" s="325">
        <f t="shared" si="15"/>
        <v>0</v>
      </c>
      <c r="F85" s="322">
        <f t="shared" si="16"/>
        <v>0</v>
      </c>
    </row>
    <row r="86" spans="1:6" s="38" customFormat="1" ht="12.15" customHeight="1" thickBot="1" x14ac:dyDescent="0.25">
      <c r="A86" s="199" t="s">
        <v>265</v>
      </c>
      <c r="B86" s="182" t="s">
        <v>266</v>
      </c>
      <c r="C86" s="246"/>
      <c r="D86" s="323">
        <f>'15. sz. mell. Önk.'!C86+'16. sz. mell. Önk.'!C86</f>
        <v>0</v>
      </c>
      <c r="E86" s="326">
        <f t="shared" si="15"/>
        <v>0</v>
      </c>
      <c r="F86" s="322">
        <f t="shared" si="16"/>
        <v>0</v>
      </c>
    </row>
    <row r="87" spans="1:6" s="38" customFormat="1" ht="12.15" customHeight="1" thickBot="1" x14ac:dyDescent="0.25">
      <c r="A87" s="196" t="s">
        <v>267</v>
      </c>
      <c r="B87" s="105" t="s">
        <v>392</v>
      </c>
      <c r="C87" s="258"/>
      <c r="D87" s="323">
        <f>'15. sz. mell. Önk.'!C87+'16. sz. mell. Önk.'!C87</f>
        <v>0</v>
      </c>
      <c r="E87" s="323">
        <f t="shared" si="15"/>
        <v>0</v>
      </c>
      <c r="F87" s="322">
        <f t="shared" si="16"/>
        <v>0</v>
      </c>
    </row>
    <row r="88" spans="1:6" s="38" customFormat="1" ht="12.15" customHeight="1" thickBot="1" x14ac:dyDescent="0.25">
      <c r="A88" s="196" t="s">
        <v>444</v>
      </c>
      <c r="B88" s="105" t="s">
        <v>268</v>
      </c>
      <c r="C88" s="258"/>
      <c r="D88" s="323">
        <f>'15. sz. mell. Önk.'!C88+'16. sz. mell. Önk.'!C88</f>
        <v>0</v>
      </c>
      <c r="E88" s="323">
        <f t="shared" si="15"/>
        <v>0</v>
      </c>
      <c r="F88" s="322">
        <f t="shared" si="16"/>
        <v>0</v>
      </c>
    </row>
    <row r="89" spans="1:6" s="38" customFormat="1" ht="12.15" customHeight="1" thickBot="1" x14ac:dyDescent="0.25">
      <c r="A89" s="196" t="s">
        <v>445</v>
      </c>
      <c r="B89" s="187" t="s">
        <v>393</v>
      </c>
      <c r="C89" s="257">
        <f t="shared" ref="C89" si="20">+C66+C70+C75+C78+C82+C88+C87</f>
        <v>2612208881</v>
      </c>
      <c r="D89" s="323">
        <f>'15. sz. mell. Önk.'!C89+'16. sz. mell. Önk.'!C89</f>
        <v>2612208881</v>
      </c>
      <c r="E89" s="323">
        <f t="shared" si="15"/>
        <v>0</v>
      </c>
      <c r="F89" s="322">
        <f t="shared" si="16"/>
        <v>0</v>
      </c>
    </row>
    <row r="90" spans="1:6" s="38" customFormat="1" ht="12.15" customHeight="1" thickBot="1" x14ac:dyDescent="0.25">
      <c r="A90" s="200" t="s">
        <v>446</v>
      </c>
      <c r="B90" s="188" t="s">
        <v>447</v>
      </c>
      <c r="C90" s="257">
        <f t="shared" ref="C90" si="21">+C65+C89</f>
        <v>6363953898</v>
      </c>
      <c r="D90" s="323">
        <f>'15. sz. mell. Önk.'!C90+'16. sz. mell. Önk.'!C90</f>
        <v>6363953898</v>
      </c>
      <c r="E90" s="323">
        <f t="shared" si="15"/>
        <v>0</v>
      </c>
      <c r="F90" s="322">
        <f t="shared" si="16"/>
        <v>0</v>
      </c>
    </row>
    <row r="91" spans="1:6" s="32" customFormat="1" ht="16.5" customHeight="1" thickBot="1" x14ac:dyDescent="0.3">
      <c r="A91" s="1335" t="s">
        <v>53</v>
      </c>
      <c r="B91" s="1336"/>
      <c r="C91" s="1337"/>
      <c r="D91" s="323">
        <f>'15. sz. mell. Önk.'!C91+'16. sz. mell. Önk.'!C91</f>
        <v>0</v>
      </c>
      <c r="E91" s="605"/>
      <c r="F91" s="322">
        <f t="shared" si="16"/>
        <v>0</v>
      </c>
    </row>
    <row r="92" spans="1:6" s="213" customFormat="1" ht="12.15" customHeight="1" thickBot="1" x14ac:dyDescent="0.3">
      <c r="A92" s="173" t="s">
        <v>16</v>
      </c>
      <c r="B92" s="23" t="s">
        <v>457</v>
      </c>
      <c r="C92" s="261">
        <f>+C93+C94+C95+C96+C97+C110</f>
        <v>972653460</v>
      </c>
      <c r="D92" s="323">
        <f>'15. sz. mell. Önk.'!C92+'16. sz. mell. Önk.'!C92</f>
        <v>972653460</v>
      </c>
      <c r="E92" s="323">
        <f t="shared" ref="E92:E154" si="22">C92-D92</f>
        <v>0</v>
      </c>
      <c r="F92" s="322">
        <f t="shared" si="16"/>
        <v>0</v>
      </c>
    </row>
    <row r="93" spans="1:6" ht="12.15" customHeight="1" thickBot="1" x14ac:dyDescent="0.3">
      <c r="A93" s="201" t="s">
        <v>85</v>
      </c>
      <c r="B93" s="7" t="s">
        <v>46</v>
      </c>
      <c r="C93" s="1260">
        <f>87891064+166233</f>
        <v>88057297</v>
      </c>
      <c r="D93" s="323">
        <f>'15. sz. mell. Önk.'!C93+'16. sz. mell. Önk.'!C93</f>
        <v>88057297</v>
      </c>
      <c r="E93" s="324">
        <f t="shared" si="22"/>
        <v>0</v>
      </c>
      <c r="F93" s="322">
        <f t="shared" si="16"/>
        <v>0</v>
      </c>
    </row>
    <row r="94" spans="1:6" ht="12.15" customHeight="1" thickBot="1" x14ac:dyDescent="0.3">
      <c r="A94" s="194" t="s">
        <v>86</v>
      </c>
      <c r="B94" s="5" t="s">
        <v>134</v>
      </c>
      <c r="C94" s="1258">
        <f>12286102+17516</f>
        <v>12303618</v>
      </c>
      <c r="D94" s="323">
        <f>'15. sz. mell. Önk.'!C94+'16. sz. mell. Önk.'!C94</f>
        <v>12303618</v>
      </c>
      <c r="E94" s="325">
        <f t="shared" si="22"/>
        <v>0</v>
      </c>
      <c r="F94" s="322">
        <f t="shared" si="16"/>
        <v>0</v>
      </c>
    </row>
    <row r="95" spans="1:6" ht="12.15" customHeight="1" thickBot="1" x14ac:dyDescent="0.3">
      <c r="A95" s="194" t="s">
        <v>87</v>
      </c>
      <c r="B95" s="5" t="s">
        <v>110</v>
      </c>
      <c r="C95" s="1084">
        <f>445823434+30000+49999-1395517</f>
        <v>444507916</v>
      </c>
      <c r="D95" s="323">
        <f>'15. sz. mell. Önk.'!C95+'16. sz. mell. Önk.'!C95</f>
        <v>444507916</v>
      </c>
      <c r="E95" s="325">
        <f t="shared" si="22"/>
        <v>0</v>
      </c>
      <c r="F95" s="322">
        <f t="shared" si="16"/>
        <v>0</v>
      </c>
    </row>
    <row r="96" spans="1:6" ht="12.15" customHeight="1" thickBot="1" x14ac:dyDescent="0.3">
      <c r="A96" s="194" t="s">
        <v>88</v>
      </c>
      <c r="B96" s="8" t="s">
        <v>135</v>
      </c>
      <c r="C96" s="249">
        <v>48800000</v>
      </c>
      <c r="D96" s="323">
        <f>'15. sz. mell. Önk.'!C96+'16. sz. mell. Önk.'!C96</f>
        <v>48800000</v>
      </c>
      <c r="E96" s="325">
        <f t="shared" si="22"/>
        <v>0</v>
      </c>
      <c r="F96" s="322">
        <f t="shared" si="16"/>
        <v>0</v>
      </c>
    </row>
    <row r="97" spans="1:6" ht="12.15" customHeight="1" thickBot="1" x14ac:dyDescent="0.3">
      <c r="A97" s="194" t="s">
        <v>99</v>
      </c>
      <c r="B97" s="16" t="s">
        <v>136</v>
      </c>
      <c r="C97" s="249">
        <f>SUM(C98:C109)</f>
        <v>238596385</v>
      </c>
      <c r="D97" s="323">
        <f>'15. sz. mell. Önk.'!C97+'16. sz. mell. Önk.'!C97</f>
        <v>238596385</v>
      </c>
      <c r="E97" s="325">
        <f t="shared" si="22"/>
        <v>0</v>
      </c>
      <c r="F97" s="322">
        <f>C97-D97</f>
        <v>0</v>
      </c>
    </row>
    <row r="98" spans="1:6" ht="12.15" customHeight="1" thickBot="1" x14ac:dyDescent="0.3">
      <c r="A98" s="194" t="s">
        <v>89</v>
      </c>
      <c r="B98" s="5" t="s">
        <v>448</v>
      </c>
      <c r="C98" s="1084">
        <v>8730222</v>
      </c>
      <c r="D98" s="323">
        <f>'15. sz. mell. Önk.'!C98+'16. sz. mell. Önk.'!C98</f>
        <v>8730222</v>
      </c>
      <c r="E98" s="325">
        <f t="shared" si="22"/>
        <v>0</v>
      </c>
      <c r="F98" s="322">
        <f t="shared" si="16"/>
        <v>0</v>
      </c>
    </row>
    <row r="99" spans="1:6" ht="12.15" customHeight="1" thickBot="1" x14ac:dyDescent="0.25">
      <c r="A99" s="194" t="s">
        <v>90</v>
      </c>
      <c r="B99" s="58" t="s">
        <v>397</v>
      </c>
      <c r="C99" s="249">
        <v>41408678</v>
      </c>
      <c r="D99" s="323">
        <f>'15. sz. mell. Önk.'!C99+'16. sz. mell. Önk.'!C99</f>
        <v>41408678</v>
      </c>
      <c r="E99" s="325">
        <f t="shared" si="22"/>
        <v>0</v>
      </c>
      <c r="F99" s="322">
        <f t="shared" si="16"/>
        <v>0</v>
      </c>
    </row>
    <row r="100" spans="1:6" ht="12.15" customHeight="1" thickBot="1" x14ac:dyDescent="0.25">
      <c r="A100" s="194" t="s">
        <v>100</v>
      </c>
      <c r="B100" s="58" t="s">
        <v>398</v>
      </c>
      <c r="C100" s="1084">
        <v>2275535</v>
      </c>
      <c r="D100" s="323">
        <f>'15. sz. mell. Önk.'!C100+'16. sz. mell. Önk.'!C100</f>
        <v>2275535</v>
      </c>
      <c r="E100" s="325">
        <f t="shared" si="22"/>
        <v>0</v>
      </c>
      <c r="F100" s="322">
        <f t="shared" si="16"/>
        <v>0</v>
      </c>
    </row>
    <row r="101" spans="1:6" ht="12.15" customHeight="1" thickBot="1" x14ac:dyDescent="0.25">
      <c r="A101" s="194" t="s">
        <v>101</v>
      </c>
      <c r="B101" s="58" t="s">
        <v>284</v>
      </c>
      <c r="C101" s="249"/>
      <c r="D101" s="323">
        <f>'15. sz. mell. Önk.'!C101+'16. sz. mell. Önk.'!C101</f>
        <v>0</v>
      </c>
      <c r="E101" s="325">
        <f t="shared" si="22"/>
        <v>0</v>
      </c>
      <c r="F101" s="322">
        <f t="shared" si="16"/>
        <v>0</v>
      </c>
    </row>
    <row r="102" spans="1:6" ht="12.15" customHeight="1" thickBot="1" x14ac:dyDescent="0.3">
      <c r="A102" s="194" t="s">
        <v>102</v>
      </c>
      <c r="B102" s="59" t="s">
        <v>285</v>
      </c>
      <c r="C102" s="249"/>
      <c r="D102" s="323">
        <f>'15. sz. mell. Önk.'!C102+'16. sz. mell. Önk.'!C102</f>
        <v>0</v>
      </c>
      <c r="E102" s="325">
        <f t="shared" si="22"/>
        <v>0</v>
      </c>
      <c r="F102" s="322">
        <f t="shared" si="16"/>
        <v>0</v>
      </c>
    </row>
    <row r="103" spans="1:6" ht="12.15" customHeight="1" thickBot="1" x14ac:dyDescent="0.3">
      <c r="A103" s="194" t="s">
        <v>103</v>
      </c>
      <c r="B103" s="59" t="s">
        <v>286</v>
      </c>
      <c r="C103" s="249"/>
      <c r="D103" s="323">
        <f>'15. sz. mell. Önk.'!C103+'16. sz. mell. Önk.'!C103</f>
        <v>0</v>
      </c>
      <c r="E103" s="325">
        <f t="shared" si="22"/>
        <v>0</v>
      </c>
      <c r="F103" s="322">
        <f t="shared" si="16"/>
        <v>0</v>
      </c>
    </row>
    <row r="104" spans="1:6" ht="12.15" customHeight="1" thickBot="1" x14ac:dyDescent="0.25">
      <c r="A104" s="194" t="s">
        <v>105</v>
      </c>
      <c r="B104" s="58" t="s">
        <v>287</v>
      </c>
      <c r="C104" s="1084">
        <f>3145116+2527201</f>
        <v>5672317</v>
      </c>
      <c r="D104" s="323">
        <f>'15. sz. mell. Önk.'!C104+'16. sz. mell. Önk.'!C104</f>
        <v>5672317</v>
      </c>
      <c r="E104" s="325">
        <f t="shared" si="22"/>
        <v>0</v>
      </c>
      <c r="F104" s="322">
        <f t="shared" si="16"/>
        <v>0</v>
      </c>
    </row>
    <row r="105" spans="1:6" ht="12.15" customHeight="1" thickBot="1" x14ac:dyDescent="0.25">
      <c r="A105" s="194" t="s">
        <v>137</v>
      </c>
      <c r="B105" s="58" t="s">
        <v>288</v>
      </c>
      <c r="C105" s="249"/>
      <c r="D105" s="323">
        <f>'15. sz. mell. Önk.'!C105+'16. sz. mell. Önk.'!C105</f>
        <v>0</v>
      </c>
      <c r="E105" s="325">
        <f t="shared" si="22"/>
        <v>0</v>
      </c>
      <c r="F105" s="322">
        <f t="shared" si="16"/>
        <v>0</v>
      </c>
    </row>
    <row r="106" spans="1:6" ht="12.15" customHeight="1" thickBot="1" x14ac:dyDescent="0.3">
      <c r="A106" s="194" t="s">
        <v>282</v>
      </c>
      <c r="B106" s="59" t="s">
        <v>289</v>
      </c>
      <c r="C106" s="249"/>
      <c r="D106" s="323">
        <f>'15. sz. mell. Önk.'!C106+'16. sz. mell. Önk.'!C106</f>
        <v>0</v>
      </c>
      <c r="E106" s="325">
        <f t="shared" si="22"/>
        <v>0</v>
      </c>
      <c r="F106" s="322">
        <f t="shared" si="16"/>
        <v>0</v>
      </c>
    </row>
    <row r="107" spans="1:6" ht="12.15" customHeight="1" thickBot="1" x14ac:dyDescent="0.3">
      <c r="A107" s="202" t="s">
        <v>283</v>
      </c>
      <c r="B107" s="60" t="s">
        <v>290</v>
      </c>
      <c r="C107" s="249"/>
      <c r="D107" s="323">
        <f>'15. sz. mell. Önk.'!C107+'16. sz. mell. Önk.'!C107</f>
        <v>0</v>
      </c>
      <c r="E107" s="325">
        <f t="shared" si="22"/>
        <v>0</v>
      </c>
      <c r="F107" s="322">
        <f t="shared" si="16"/>
        <v>0</v>
      </c>
    </row>
    <row r="108" spans="1:6" ht="12.15" customHeight="1" thickBot="1" x14ac:dyDescent="0.3">
      <c r="A108" s="194" t="s">
        <v>399</v>
      </c>
      <c r="B108" s="60" t="s">
        <v>291</v>
      </c>
      <c r="C108" s="249"/>
      <c r="D108" s="323">
        <f>'15. sz. mell. Önk.'!C108+'16. sz. mell. Önk.'!C108</f>
        <v>0</v>
      </c>
      <c r="E108" s="325">
        <f t="shared" si="22"/>
        <v>0</v>
      </c>
      <c r="F108" s="322">
        <f t="shared" si="16"/>
        <v>0</v>
      </c>
    </row>
    <row r="109" spans="1:6" ht="12.15" customHeight="1" thickBot="1" x14ac:dyDescent="0.3">
      <c r="A109" s="194" t="s">
        <v>400</v>
      </c>
      <c r="B109" s="59" t="s">
        <v>292</v>
      </c>
      <c r="C109" s="246">
        <v>180509633</v>
      </c>
      <c r="D109" s="323">
        <f>'15. sz. mell. Önk.'!C109+'16. sz. mell. Önk.'!C109</f>
        <v>180509633</v>
      </c>
      <c r="E109" s="325">
        <f t="shared" si="22"/>
        <v>0</v>
      </c>
      <c r="F109" s="322">
        <f t="shared" si="16"/>
        <v>0</v>
      </c>
    </row>
    <row r="110" spans="1:6" ht="12.15" customHeight="1" thickBot="1" x14ac:dyDescent="0.3">
      <c r="A110" s="194" t="s">
        <v>401</v>
      </c>
      <c r="B110" s="8" t="s">
        <v>47</v>
      </c>
      <c r="C110" s="246">
        <f t="shared" ref="C110" si="23">SUM(C111:C112)</f>
        <v>140388244</v>
      </c>
      <c r="D110" s="323">
        <f>'15. sz. mell. Önk.'!C110+'16. sz. mell. Önk.'!C110</f>
        <v>140388244</v>
      </c>
      <c r="E110" s="325">
        <f t="shared" si="22"/>
        <v>0</v>
      </c>
      <c r="F110" s="322">
        <f t="shared" si="16"/>
        <v>0</v>
      </c>
    </row>
    <row r="111" spans="1:6" ht="12.15" customHeight="1" thickBot="1" x14ac:dyDescent="0.3">
      <c r="A111" s="195" t="s">
        <v>402</v>
      </c>
      <c r="B111" s="5" t="s">
        <v>449</v>
      </c>
      <c r="C111" s="1084">
        <f>10000000+8212136</f>
        <v>18212136</v>
      </c>
      <c r="D111" s="323">
        <f>'15. sz. mell. Önk.'!C111+'16. sz. mell. Önk.'!C111</f>
        <v>18212136</v>
      </c>
      <c r="E111" s="325">
        <f t="shared" si="22"/>
        <v>0</v>
      </c>
      <c r="F111" s="322">
        <f t="shared" si="16"/>
        <v>0</v>
      </c>
    </row>
    <row r="112" spans="1:6" ht="12.15" customHeight="1" thickBot="1" x14ac:dyDescent="0.3">
      <c r="A112" s="203" t="s">
        <v>404</v>
      </c>
      <c r="B112" s="61" t="s">
        <v>450</v>
      </c>
      <c r="C112" s="1261">
        <f>132176108-10000000</f>
        <v>122176108</v>
      </c>
      <c r="D112" s="323">
        <f>'15. sz. mell. Önk.'!C112+'16. sz. mell. Önk.'!C112</f>
        <v>122176108</v>
      </c>
      <c r="E112" s="326">
        <f t="shared" si="22"/>
        <v>0</v>
      </c>
      <c r="F112" s="322">
        <f t="shared" si="16"/>
        <v>0</v>
      </c>
    </row>
    <row r="113" spans="1:6" ht="12.15" customHeight="1" thickBot="1" x14ac:dyDescent="0.3">
      <c r="A113" s="25" t="s">
        <v>17</v>
      </c>
      <c r="B113" s="22" t="s">
        <v>293</v>
      </c>
      <c r="C113" s="257">
        <f t="shared" ref="C113" si="24">+C114+C116+C118</f>
        <v>1505668687</v>
      </c>
      <c r="D113" s="323">
        <f>'15. sz. mell. Önk.'!C113+'16. sz. mell. Önk.'!C113</f>
        <v>1505668687</v>
      </c>
      <c r="E113" s="323">
        <f t="shared" si="22"/>
        <v>0</v>
      </c>
      <c r="F113" s="322">
        <f t="shared" si="16"/>
        <v>0</v>
      </c>
    </row>
    <row r="114" spans="1:6" ht="12.15" customHeight="1" thickBot="1" x14ac:dyDescent="0.3">
      <c r="A114" s="193" t="s">
        <v>91</v>
      </c>
      <c r="B114" s="5" t="s">
        <v>157</v>
      </c>
      <c r="C114" s="1262">
        <f>460349331+1300000+12122993+1369875</f>
        <v>475142199</v>
      </c>
      <c r="D114" s="323">
        <f>'15. sz. mell. Önk.'!C114+'16. sz. mell. Önk.'!C114</f>
        <v>475142199</v>
      </c>
      <c r="E114" s="324">
        <f t="shared" si="22"/>
        <v>0</v>
      </c>
      <c r="F114" s="322">
        <f t="shared" si="16"/>
        <v>0</v>
      </c>
    </row>
    <row r="115" spans="1:6" ht="12.15" customHeight="1" thickBot="1" x14ac:dyDescent="0.3">
      <c r="A115" s="193" t="s">
        <v>92</v>
      </c>
      <c r="B115" s="9" t="s">
        <v>297</v>
      </c>
      <c r="C115" s="1263">
        <f>241263068+12122993+1134036</f>
        <v>254520097</v>
      </c>
      <c r="D115" s="323">
        <f>'15. sz. mell. Önk.'!C115+'16. sz. mell. Önk.'!C115</f>
        <v>254520097</v>
      </c>
      <c r="E115" s="325">
        <f t="shared" si="22"/>
        <v>0</v>
      </c>
      <c r="F115" s="322">
        <f t="shared" si="16"/>
        <v>0</v>
      </c>
    </row>
    <row r="116" spans="1:6" ht="12.15" customHeight="1" thickBot="1" x14ac:dyDescent="0.3">
      <c r="A116" s="193" t="s">
        <v>93</v>
      </c>
      <c r="B116" s="9" t="s">
        <v>138</v>
      </c>
      <c r="C116" s="246">
        <v>976239214</v>
      </c>
      <c r="D116" s="323">
        <f>'15. sz. mell. Önk.'!C116+'16. sz. mell. Önk.'!C116</f>
        <v>976239214</v>
      </c>
      <c r="E116" s="325">
        <f t="shared" si="22"/>
        <v>0</v>
      </c>
      <c r="F116" s="322">
        <f t="shared" si="16"/>
        <v>0</v>
      </c>
    </row>
    <row r="117" spans="1:6" ht="12.15" customHeight="1" thickBot="1" x14ac:dyDescent="0.3">
      <c r="A117" s="193" t="s">
        <v>94</v>
      </c>
      <c r="B117" s="9" t="s">
        <v>298</v>
      </c>
      <c r="C117" s="246">
        <v>605613240</v>
      </c>
      <c r="D117" s="323">
        <f>'15. sz. mell. Önk.'!C117+'16. sz. mell. Önk.'!C117</f>
        <v>605613240</v>
      </c>
      <c r="E117" s="325">
        <f t="shared" si="22"/>
        <v>0</v>
      </c>
      <c r="F117" s="322">
        <f t="shared" si="16"/>
        <v>0</v>
      </c>
    </row>
    <row r="118" spans="1:6" ht="12.15" customHeight="1" thickBot="1" x14ac:dyDescent="0.3">
      <c r="A118" s="193" t="s">
        <v>95</v>
      </c>
      <c r="B118" s="107" t="s">
        <v>159</v>
      </c>
      <c r="C118" s="1258">
        <f t="shared" ref="C118" si="25">SUM(C119:C126)</f>
        <v>54287274</v>
      </c>
      <c r="D118" s="323">
        <f>'15. sz. mell. Önk.'!C118+'16. sz. mell. Önk.'!C118</f>
        <v>54287274</v>
      </c>
      <c r="E118" s="325">
        <f t="shared" si="22"/>
        <v>0</v>
      </c>
      <c r="F118" s="322">
        <f t="shared" si="16"/>
        <v>0</v>
      </c>
    </row>
    <row r="119" spans="1:6" ht="12.15" customHeight="1" thickBot="1" x14ac:dyDescent="0.3">
      <c r="A119" s="193" t="s">
        <v>104</v>
      </c>
      <c r="B119" s="106" t="s">
        <v>358</v>
      </c>
      <c r="C119" s="246"/>
      <c r="D119" s="323">
        <f>'15. sz. mell. Önk.'!C119+'16. sz. mell. Önk.'!C119</f>
        <v>0</v>
      </c>
      <c r="E119" s="325">
        <f t="shared" si="22"/>
        <v>0</v>
      </c>
      <c r="F119" s="322">
        <f t="shared" si="16"/>
        <v>0</v>
      </c>
    </row>
    <row r="120" spans="1:6" ht="12.15" customHeight="1" thickBot="1" x14ac:dyDescent="0.3">
      <c r="A120" s="193" t="s">
        <v>106</v>
      </c>
      <c r="B120" s="177" t="s">
        <v>303</v>
      </c>
      <c r="C120" s="246"/>
      <c r="D120" s="323">
        <f>'15. sz. mell. Önk.'!C120+'16. sz. mell. Önk.'!C120</f>
        <v>0</v>
      </c>
      <c r="E120" s="325">
        <f t="shared" si="22"/>
        <v>0</v>
      </c>
      <c r="F120" s="322">
        <f t="shared" si="16"/>
        <v>0</v>
      </c>
    </row>
    <row r="121" spans="1:6" ht="12.15" customHeight="1" thickBot="1" x14ac:dyDescent="0.3">
      <c r="A121" s="193" t="s">
        <v>139</v>
      </c>
      <c r="B121" s="59" t="s">
        <v>286</v>
      </c>
      <c r="C121" s="246"/>
      <c r="D121" s="323">
        <f>'15. sz. mell. Önk.'!C121+'16. sz. mell. Önk.'!C121</f>
        <v>0</v>
      </c>
      <c r="E121" s="325">
        <f t="shared" si="22"/>
        <v>0</v>
      </c>
      <c r="F121" s="322">
        <f t="shared" si="16"/>
        <v>0</v>
      </c>
    </row>
    <row r="122" spans="1:6" ht="12.15" customHeight="1" thickBot="1" x14ac:dyDescent="0.3">
      <c r="A122" s="193" t="s">
        <v>140</v>
      </c>
      <c r="B122" s="59" t="s">
        <v>302</v>
      </c>
      <c r="C122" s="1258">
        <f>51985155+1027</f>
        <v>51986182</v>
      </c>
      <c r="D122" s="323">
        <f>'15. sz. mell. Önk.'!C122+'16. sz. mell. Önk.'!C122</f>
        <v>51986182</v>
      </c>
      <c r="E122" s="325">
        <f t="shared" si="22"/>
        <v>0</v>
      </c>
      <c r="F122" s="322">
        <f t="shared" si="16"/>
        <v>0</v>
      </c>
    </row>
    <row r="123" spans="1:6" ht="12.15" customHeight="1" thickBot="1" x14ac:dyDescent="0.3">
      <c r="A123" s="193" t="s">
        <v>141</v>
      </c>
      <c r="B123" s="59" t="s">
        <v>301</v>
      </c>
      <c r="C123" s="246"/>
      <c r="D123" s="323">
        <f>'15. sz. mell. Önk.'!C123+'16. sz. mell. Önk.'!C123</f>
        <v>0</v>
      </c>
      <c r="E123" s="325">
        <f t="shared" si="22"/>
        <v>0</v>
      </c>
      <c r="F123" s="322">
        <f t="shared" si="16"/>
        <v>0</v>
      </c>
    </row>
    <row r="124" spans="1:6" ht="12.15" customHeight="1" thickBot="1" x14ac:dyDescent="0.3">
      <c r="A124" s="193" t="s">
        <v>294</v>
      </c>
      <c r="B124" s="59" t="s">
        <v>289</v>
      </c>
      <c r="C124" s="246"/>
      <c r="D124" s="323">
        <f>'15. sz. mell. Önk.'!C124+'16. sz. mell. Önk.'!C124</f>
        <v>0</v>
      </c>
      <c r="E124" s="325">
        <f t="shared" si="22"/>
        <v>0</v>
      </c>
      <c r="F124" s="322">
        <f t="shared" si="16"/>
        <v>0</v>
      </c>
    </row>
    <row r="125" spans="1:6" ht="12.15" customHeight="1" thickBot="1" x14ac:dyDescent="0.3">
      <c r="A125" s="193" t="s">
        <v>295</v>
      </c>
      <c r="B125" s="59" t="s">
        <v>300</v>
      </c>
      <c r="C125" s="246"/>
      <c r="D125" s="323">
        <f>'15. sz. mell. Önk.'!C125+'16. sz. mell. Önk.'!C125</f>
        <v>0</v>
      </c>
      <c r="E125" s="325">
        <f t="shared" si="22"/>
        <v>0</v>
      </c>
      <c r="F125" s="322">
        <f t="shared" si="16"/>
        <v>0</v>
      </c>
    </row>
    <row r="126" spans="1:6" ht="12.15" customHeight="1" thickBot="1" x14ac:dyDescent="0.3">
      <c r="A126" s="202" t="s">
        <v>296</v>
      </c>
      <c r="B126" s="59" t="s">
        <v>299</v>
      </c>
      <c r="C126" s="249">
        <v>2301092</v>
      </c>
      <c r="D126" s="323">
        <f>'15. sz. mell. Önk.'!C126+'16. sz. mell. Önk.'!C126</f>
        <v>2301092</v>
      </c>
      <c r="E126" s="326">
        <f t="shared" si="22"/>
        <v>0</v>
      </c>
      <c r="F126" s="322">
        <f t="shared" si="16"/>
        <v>0</v>
      </c>
    </row>
    <row r="127" spans="1:6" ht="12.15" customHeight="1" thickBot="1" x14ac:dyDescent="0.3">
      <c r="A127" s="25" t="s">
        <v>18</v>
      </c>
      <c r="B127" s="54" t="s">
        <v>406</v>
      </c>
      <c r="C127" s="255">
        <f t="shared" ref="C127" si="26">+C92+C113</f>
        <v>2478322147</v>
      </c>
      <c r="D127" s="323">
        <f>'15. sz. mell. Önk.'!C127+'16. sz. mell. Önk.'!C127</f>
        <v>2478322147</v>
      </c>
      <c r="E127" s="323">
        <f t="shared" si="22"/>
        <v>0</v>
      </c>
      <c r="F127" s="322">
        <f t="shared" si="16"/>
        <v>0</v>
      </c>
    </row>
    <row r="128" spans="1:6" ht="12.15" customHeight="1" thickBot="1" x14ac:dyDescent="0.3">
      <c r="A128" s="25" t="s">
        <v>19</v>
      </c>
      <c r="B128" s="54" t="s">
        <v>407</v>
      </c>
      <c r="C128" s="255">
        <f t="shared" ref="C128" si="27">+C129+C130+C131</f>
        <v>1133102330</v>
      </c>
      <c r="D128" s="323">
        <f>'15. sz. mell. Önk.'!C128+'16. sz. mell. Önk.'!C128</f>
        <v>1133102330</v>
      </c>
      <c r="E128" s="323">
        <f t="shared" si="22"/>
        <v>0</v>
      </c>
      <c r="F128" s="322">
        <f t="shared" si="16"/>
        <v>0</v>
      </c>
    </row>
    <row r="129" spans="1:7" s="213" customFormat="1" ht="12.15" customHeight="1" thickBot="1" x14ac:dyDescent="0.3">
      <c r="A129" s="193" t="s">
        <v>195</v>
      </c>
      <c r="B129" s="6" t="s">
        <v>451</v>
      </c>
      <c r="C129" s="246">
        <v>33102330</v>
      </c>
      <c r="D129" s="323">
        <f>'15. sz. mell. Önk.'!C129+'16. sz. mell. Önk.'!C129</f>
        <v>33102330</v>
      </c>
      <c r="E129" s="324">
        <f t="shared" si="22"/>
        <v>0</v>
      </c>
      <c r="F129" s="322">
        <f t="shared" si="16"/>
        <v>0</v>
      </c>
    </row>
    <row r="130" spans="1:7" ht="12.15" customHeight="1" thickBot="1" x14ac:dyDescent="0.3">
      <c r="A130" s="193" t="s">
        <v>198</v>
      </c>
      <c r="B130" s="6" t="s">
        <v>409</v>
      </c>
      <c r="C130" s="246">
        <f>1100000000</f>
        <v>1100000000</v>
      </c>
      <c r="D130" s="323">
        <f>'15. sz. mell. Önk.'!C130+'16. sz. mell. Önk.'!C130</f>
        <v>1100000000</v>
      </c>
      <c r="E130" s="325">
        <f t="shared" si="22"/>
        <v>0</v>
      </c>
      <c r="F130" s="322">
        <f t="shared" si="16"/>
        <v>0</v>
      </c>
    </row>
    <row r="131" spans="1:7" ht="12.15" customHeight="1" thickBot="1" x14ac:dyDescent="0.3">
      <c r="A131" s="202" t="s">
        <v>199</v>
      </c>
      <c r="B131" s="4" t="s">
        <v>452</v>
      </c>
      <c r="C131" s="246"/>
      <c r="D131" s="323">
        <f>'15. sz. mell. Önk.'!C131+'16. sz. mell. Önk.'!C131</f>
        <v>0</v>
      </c>
      <c r="E131" s="326">
        <f t="shared" si="22"/>
        <v>0</v>
      </c>
      <c r="F131" s="322">
        <f t="shared" si="16"/>
        <v>0</v>
      </c>
    </row>
    <row r="132" spans="1:7" ht="12.15" customHeight="1" thickBot="1" x14ac:dyDescent="0.3">
      <c r="A132" s="25" t="s">
        <v>20</v>
      </c>
      <c r="B132" s="54" t="s">
        <v>411</v>
      </c>
      <c r="C132" s="255">
        <f>+C133+C134+C135+C136+C137+C138</f>
        <v>0</v>
      </c>
      <c r="D132" s="323">
        <f>'15. sz. mell. Önk.'!C132+'16. sz. mell. Önk.'!C132</f>
        <v>0</v>
      </c>
      <c r="E132" s="323">
        <f t="shared" si="22"/>
        <v>0</v>
      </c>
      <c r="F132" s="322">
        <f t="shared" si="16"/>
        <v>0</v>
      </c>
    </row>
    <row r="133" spans="1:7" ht="12.15" customHeight="1" thickBot="1" x14ac:dyDescent="0.3">
      <c r="A133" s="193" t="s">
        <v>78</v>
      </c>
      <c r="B133" s="6" t="s">
        <v>412</v>
      </c>
      <c r="C133" s="99"/>
      <c r="D133" s="323">
        <f>'15. sz. mell. Önk.'!C133+'16. sz. mell. Önk.'!C133</f>
        <v>0</v>
      </c>
      <c r="E133" s="324">
        <f t="shared" si="22"/>
        <v>0</v>
      </c>
      <c r="F133" s="322">
        <f t="shared" si="16"/>
        <v>0</v>
      </c>
    </row>
    <row r="134" spans="1:7" ht="12.15" customHeight="1" thickBot="1" x14ac:dyDescent="0.3">
      <c r="A134" s="193" t="s">
        <v>79</v>
      </c>
      <c r="B134" s="6" t="s">
        <v>413</v>
      </c>
      <c r="C134" s="99"/>
      <c r="D134" s="323">
        <f>'15. sz. mell. Önk.'!C134+'16. sz. mell. Önk.'!C134</f>
        <v>0</v>
      </c>
      <c r="E134" s="325">
        <f t="shared" si="22"/>
        <v>0</v>
      </c>
      <c r="F134" s="322">
        <f t="shared" si="16"/>
        <v>0</v>
      </c>
    </row>
    <row r="135" spans="1:7" ht="12.15" customHeight="1" thickBot="1" x14ac:dyDescent="0.3">
      <c r="A135" s="193" t="s">
        <v>80</v>
      </c>
      <c r="B135" s="6" t="s">
        <v>414</v>
      </c>
      <c r="C135" s="99"/>
      <c r="D135" s="323">
        <f>'15. sz. mell. Önk.'!C135+'16. sz. mell. Önk.'!C135</f>
        <v>0</v>
      </c>
      <c r="E135" s="325">
        <f t="shared" si="22"/>
        <v>0</v>
      </c>
      <c r="F135" s="322">
        <f t="shared" si="16"/>
        <v>0</v>
      </c>
    </row>
    <row r="136" spans="1:7" ht="12.15" customHeight="1" thickBot="1" x14ac:dyDescent="0.3">
      <c r="A136" s="193" t="s">
        <v>126</v>
      </c>
      <c r="B136" s="6" t="s">
        <v>453</v>
      </c>
      <c r="C136" s="99"/>
      <c r="D136" s="323">
        <f>'15. sz. mell. Önk.'!C136+'16. sz. mell. Önk.'!C136</f>
        <v>0</v>
      </c>
      <c r="E136" s="325">
        <f t="shared" si="22"/>
        <v>0</v>
      </c>
      <c r="F136" s="322">
        <f t="shared" ref="F136:F154" si="28">C136-D136</f>
        <v>0</v>
      </c>
    </row>
    <row r="137" spans="1:7" ht="12.15" customHeight="1" thickBot="1" x14ac:dyDescent="0.3">
      <c r="A137" s="193" t="s">
        <v>127</v>
      </c>
      <c r="B137" s="6" t="s">
        <v>416</v>
      </c>
      <c r="C137" s="99"/>
      <c r="D137" s="323">
        <f>'15. sz. mell. Önk.'!C137+'16. sz. mell. Önk.'!C137</f>
        <v>0</v>
      </c>
      <c r="E137" s="325">
        <f t="shared" si="22"/>
        <v>0</v>
      </c>
      <c r="F137" s="322">
        <f t="shared" si="28"/>
        <v>0</v>
      </c>
    </row>
    <row r="138" spans="1:7" s="213" customFormat="1" ht="12.15" customHeight="1" thickBot="1" x14ac:dyDescent="0.3">
      <c r="A138" s="202" t="s">
        <v>128</v>
      </c>
      <c r="B138" s="4" t="s">
        <v>417</v>
      </c>
      <c r="C138" s="99"/>
      <c r="D138" s="323">
        <f>'15. sz. mell. Önk.'!C138+'16. sz. mell. Önk.'!C138</f>
        <v>0</v>
      </c>
      <c r="E138" s="326">
        <f t="shared" si="22"/>
        <v>0</v>
      </c>
      <c r="F138" s="322">
        <f t="shared" si="28"/>
        <v>0</v>
      </c>
    </row>
    <row r="139" spans="1:7" ht="12.15" customHeight="1" thickBot="1" x14ac:dyDescent="0.3">
      <c r="A139" s="25" t="s">
        <v>21</v>
      </c>
      <c r="B139" s="54" t="s">
        <v>454</v>
      </c>
      <c r="C139" s="257">
        <f t="shared" ref="C139" si="29">+C140+C141+C142+C143</f>
        <v>67733205</v>
      </c>
      <c r="D139" s="323">
        <f>'15. sz. mell. Önk.'!C139+'16. sz. mell. Önk.'!C139</f>
        <v>67733205</v>
      </c>
      <c r="E139" s="323">
        <f t="shared" si="22"/>
        <v>0</v>
      </c>
      <c r="F139" s="322">
        <f t="shared" si="28"/>
        <v>0</v>
      </c>
      <c r="G139" s="98"/>
    </row>
    <row r="140" spans="1:7" ht="13.8" thickBot="1" x14ac:dyDescent="0.3">
      <c r="A140" s="193" t="s">
        <v>81</v>
      </c>
      <c r="B140" s="6" t="s">
        <v>304</v>
      </c>
      <c r="C140" s="246"/>
      <c r="D140" s="323">
        <f>'15. sz. mell. Önk.'!C140+'16. sz. mell. Önk.'!C140</f>
        <v>0</v>
      </c>
      <c r="E140" s="324">
        <f t="shared" si="22"/>
        <v>0</v>
      </c>
      <c r="F140" s="322">
        <f t="shared" si="28"/>
        <v>0</v>
      </c>
    </row>
    <row r="141" spans="1:7" ht="12.15" customHeight="1" thickBot="1" x14ac:dyDescent="0.3">
      <c r="A141" s="193" t="s">
        <v>82</v>
      </c>
      <c r="B141" s="6" t="s">
        <v>305</v>
      </c>
      <c r="C141" s="246">
        <v>67733205</v>
      </c>
      <c r="D141" s="323">
        <f>'15. sz. mell. Önk.'!C141+'16. sz. mell. Önk.'!C141</f>
        <v>67733205</v>
      </c>
      <c r="E141" s="325">
        <f t="shared" si="22"/>
        <v>0</v>
      </c>
      <c r="F141" s="322">
        <f t="shared" si="28"/>
        <v>0</v>
      </c>
    </row>
    <row r="142" spans="1:7" s="213" customFormat="1" ht="12.15" customHeight="1" thickBot="1" x14ac:dyDescent="0.3">
      <c r="A142" s="193" t="s">
        <v>218</v>
      </c>
      <c r="B142" s="6" t="s">
        <v>419</v>
      </c>
      <c r="C142" s="246"/>
      <c r="D142" s="323">
        <f>'15. sz. mell. Önk.'!C142+'16. sz. mell. Önk.'!C142</f>
        <v>0</v>
      </c>
      <c r="E142" s="325">
        <f t="shared" si="22"/>
        <v>0</v>
      </c>
      <c r="F142" s="322">
        <f t="shared" si="28"/>
        <v>0</v>
      </c>
    </row>
    <row r="143" spans="1:7" s="213" customFormat="1" ht="12.15" customHeight="1" thickBot="1" x14ac:dyDescent="0.3">
      <c r="A143" s="202" t="s">
        <v>219</v>
      </c>
      <c r="B143" s="4" t="s">
        <v>323</v>
      </c>
      <c r="C143" s="246"/>
      <c r="D143" s="323">
        <f>'15. sz. mell. Önk.'!C143+'16. sz. mell. Önk.'!C143</f>
        <v>0</v>
      </c>
      <c r="E143" s="326">
        <f t="shared" si="22"/>
        <v>0</v>
      </c>
      <c r="F143" s="322">
        <f t="shared" si="28"/>
        <v>0</v>
      </c>
    </row>
    <row r="144" spans="1:7" s="213" customFormat="1" ht="12.15" customHeight="1" thickBot="1" x14ac:dyDescent="0.3">
      <c r="A144" s="25" t="s">
        <v>22</v>
      </c>
      <c r="B144" s="54" t="s">
        <v>420</v>
      </c>
      <c r="C144" s="262">
        <f>+C145+C146+C147+C148+C149</f>
        <v>0</v>
      </c>
      <c r="D144" s="323">
        <f>'15. sz. mell. Önk.'!C144+'16. sz. mell. Önk.'!C144</f>
        <v>0</v>
      </c>
      <c r="E144" s="323">
        <f t="shared" si="22"/>
        <v>0</v>
      </c>
      <c r="F144" s="322">
        <f t="shared" si="28"/>
        <v>0</v>
      </c>
    </row>
    <row r="145" spans="1:8" s="213" customFormat="1" ht="12.15" customHeight="1" thickBot="1" x14ac:dyDescent="0.3">
      <c r="A145" s="193" t="s">
        <v>83</v>
      </c>
      <c r="B145" s="6" t="s">
        <v>421</v>
      </c>
      <c r="C145" s="99"/>
      <c r="D145" s="323">
        <f>'15. sz. mell. Önk.'!C145+'16. sz. mell. Önk.'!C145</f>
        <v>0</v>
      </c>
      <c r="E145" s="324">
        <f t="shared" si="22"/>
        <v>0</v>
      </c>
      <c r="F145" s="322">
        <f t="shared" si="28"/>
        <v>0</v>
      </c>
    </row>
    <row r="146" spans="1:8" s="213" customFormat="1" ht="12.15" customHeight="1" thickBot="1" x14ac:dyDescent="0.3">
      <c r="A146" s="193" t="s">
        <v>84</v>
      </c>
      <c r="B146" s="6" t="s">
        <v>422</v>
      </c>
      <c r="C146" s="99"/>
      <c r="D146" s="323">
        <f>'15. sz. mell. Önk.'!C146+'16. sz. mell. Önk.'!C146</f>
        <v>0</v>
      </c>
      <c r="E146" s="325">
        <f t="shared" si="22"/>
        <v>0</v>
      </c>
      <c r="F146" s="322">
        <f t="shared" si="28"/>
        <v>0</v>
      </c>
    </row>
    <row r="147" spans="1:8" s="213" customFormat="1" ht="12.15" customHeight="1" thickBot="1" x14ac:dyDescent="0.3">
      <c r="A147" s="193" t="s">
        <v>230</v>
      </c>
      <c r="B147" s="6" t="s">
        <v>423</v>
      </c>
      <c r="C147" s="99"/>
      <c r="D147" s="323">
        <f>'15. sz. mell. Önk.'!C147+'16. sz. mell. Önk.'!C147</f>
        <v>0</v>
      </c>
      <c r="E147" s="325">
        <f t="shared" si="22"/>
        <v>0</v>
      </c>
      <c r="F147" s="322">
        <f t="shared" si="28"/>
        <v>0</v>
      </c>
    </row>
    <row r="148" spans="1:8" s="213" customFormat="1" ht="12.15" customHeight="1" thickBot="1" x14ac:dyDescent="0.3">
      <c r="A148" s="193" t="s">
        <v>231</v>
      </c>
      <c r="B148" s="6" t="s">
        <v>455</v>
      </c>
      <c r="C148" s="99"/>
      <c r="D148" s="323">
        <f>'15. sz. mell. Önk.'!C148+'16. sz. mell. Önk.'!C148</f>
        <v>0</v>
      </c>
      <c r="E148" s="325">
        <f t="shared" si="22"/>
        <v>0</v>
      </c>
      <c r="F148" s="322">
        <f t="shared" si="28"/>
        <v>0</v>
      </c>
    </row>
    <row r="149" spans="1:8" ht="12.75" customHeight="1" thickBot="1" x14ac:dyDescent="0.3">
      <c r="A149" s="202" t="s">
        <v>425</v>
      </c>
      <c r="B149" s="4" t="s">
        <v>426</v>
      </c>
      <c r="C149" s="100"/>
      <c r="D149" s="323">
        <f>'15. sz. mell. Önk.'!C149+'16. sz. mell. Önk.'!C149</f>
        <v>0</v>
      </c>
      <c r="E149" s="326">
        <f t="shared" si="22"/>
        <v>0</v>
      </c>
      <c r="F149" s="322">
        <f t="shared" si="28"/>
        <v>0</v>
      </c>
    </row>
    <row r="150" spans="1:8" ht="12.75" customHeight="1" thickBot="1" x14ac:dyDescent="0.3">
      <c r="A150" s="244" t="s">
        <v>23</v>
      </c>
      <c r="B150" s="54" t="s">
        <v>427</v>
      </c>
      <c r="C150" s="262"/>
      <c r="D150" s="323">
        <f>'15. sz. mell. Önk.'!C150+'16. sz. mell. Önk.'!C150</f>
        <v>0</v>
      </c>
      <c r="E150" s="323">
        <f t="shared" si="22"/>
        <v>0</v>
      </c>
      <c r="F150" s="322">
        <f t="shared" si="28"/>
        <v>0</v>
      </c>
    </row>
    <row r="151" spans="1:8" ht="12.75" customHeight="1" thickBot="1" x14ac:dyDescent="0.3">
      <c r="A151" s="244" t="s">
        <v>24</v>
      </c>
      <c r="B151" s="54" t="s">
        <v>428</v>
      </c>
      <c r="C151" s="262"/>
      <c r="D151" s="323">
        <f>'15. sz. mell. Önk.'!C151+'16. sz. mell. Önk.'!C151</f>
        <v>0</v>
      </c>
      <c r="E151" s="327">
        <f t="shared" si="22"/>
        <v>0</v>
      </c>
      <c r="F151" s="322">
        <f t="shared" si="28"/>
        <v>0</v>
      </c>
    </row>
    <row r="152" spans="1:8" ht="12.15" customHeight="1" thickBot="1" x14ac:dyDescent="0.3">
      <c r="A152" s="25" t="s">
        <v>25</v>
      </c>
      <c r="B152" s="54" t="s">
        <v>429</v>
      </c>
      <c r="C152" s="263">
        <f t="shared" ref="C152" si="30">+C128+C132+C139+C144+C150+C151</f>
        <v>1200835535</v>
      </c>
      <c r="D152" s="323">
        <f>'15. sz. mell. Önk.'!C152+'16. sz. mell. Önk.'!C152</f>
        <v>1200835535</v>
      </c>
      <c r="E152" s="323">
        <f t="shared" si="22"/>
        <v>0</v>
      </c>
      <c r="F152" s="322">
        <f t="shared" si="28"/>
        <v>0</v>
      </c>
    </row>
    <row r="153" spans="1:8" ht="15" customHeight="1" thickBot="1" x14ac:dyDescent="0.3">
      <c r="A153" s="204" t="s">
        <v>26</v>
      </c>
      <c r="B153" s="166" t="s">
        <v>430</v>
      </c>
      <c r="C153" s="263">
        <f t="shared" ref="C153" si="31">+C127+C152</f>
        <v>3679157682</v>
      </c>
      <c r="D153" s="323">
        <f>'15. sz. mell. Önk.'!C153+'16. sz. mell. Önk.'!C153</f>
        <v>3679157682</v>
      </c>
      <c r="E153" s="323">
        <f t="shared" si="22"/>
        <v>0</v>
      </c>
      <c r="F153" s="322">
        <f t="shared" si="28"/>
        <v>0</v>
      </c>
      <c r="H153" s="31">
        <f>C153+'17. sz. mell. PH.'!C57+'24. sz. mell EKIK'!C57+'27. sz. mell Kornisné Kp.'!C55+'31. sz. mell TIB  '!C55+'21. sz. mell TEOI'!C54</f>
        <v>7091060696</v>
      </c>
    </row>
    <row r="154" spans="1:8" ht="15" customHeight="1" thickBot="1" x14ac:dyDescent="0.3">
      <c r="A154" s="1090" t="s">
        <v>456</v>
      </c>
      <c r="B154" s="1091"/>
      <c r="C154" s="894">
        <f>6</f>
        <v>6</v>
      </c>
      <c r="D154" s="613">
        <f>'15. sz. mell. Önk.'!C154+'16. sz. mell. Önk.'!C154</f>
        <v>6</v>
      </c>
      <c r="E154" s="323">
        <f t="shared" si="22"/>
        <v>0</v>
      </c>
      <c r="F154" s="322">
        <f t="shared" si="28"/>
        <v>0</v>
      </c>
    </row>
    <row r="155" spans="1:8" ht="15" customHeight="1" thickBot="1" x14ac:dyDescent="0.3">
      <c r="A155" s="1096" t="s">
        <v>996</v>
      </c>
      <c r="B155" s="1097"/>
      <c r="C155" s="894">
        <v>2.42</v>
      </c>
      <c r="D155" s="1098">
        <f>'15. sz. mell. Önk.'!C155+'16. sz. mell. Önk.'!C155</f>
        <v>2.42</v>
      </c>
      <c r="E155" s="323">
        <f t="shared" ref="E155" si="32">C155-D155</f>
        <v>0</v>
      </c>
      <c r="F155" s="322">
        <f t="shared" ref="F155" si="33">C155-D155</f>
        <v>0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15" zoomScaleNormal="115" zoomScaleSheetLayoutView="70" workbookViewId="0">
      <selection activeCell="A2" sqref="A2"/>
    </sheetView>
  </sheetViews>
  <sheetFormatPr defaultColWidth="9.33203125" defaultRowHeight="13.2" x14ac:dyDescent="0.25"/>
  <cols>
    <col min="1" max="1" width="19.44140625" style="328" customWidth="1"/>
    <col min="2" max="2" width="72" style="329" customWidth="1"/>
    <col min="3" max="3" width="25" style="330" customWidth="1"/>
    <col min="4" max="4" width="17.33203125" style="301" bestFit="1" customWidth="1"/>
    <col min="5" max="16384" width="9.33203125" style="301"/>
  </cols>
  <sheetData>
    <row r="1" spans="1:6" x14ac:dyDescent="0.25">
      <c r="A1" s="1334" t="str">
        <f>CONCATENATE("11. melléklet"," ",ALAPADATOK!A7," ",ALAPADATOK!B7," ",ALAPADATOK!C7," ",ALAPADATOK!D7," ",ALAPADATOK!E7," ",ALAPADATOK!F7," ",ALAPADATOK!G7," ",ALAPADATOK!H7)</f>
        <v>11. melléklet a …. / 2024. ( .... ) önkormányzati rendelethez</v>
      </c>
      <c r="B1" s="1334"/>
      <c r="C1" s="1334"/>
    </row>
    <row r="2" spans="1:6" s="1" customFormat="1" ht="16.5" customHeight="1" x14ac:dyDescent="0.25">
      <c r="A2" s="75"/>
      <c r="B2" s="76"/>
      <c r="C2" s="97"/>
    </row>
    <row r="3" spans="1:6" s="1" customFormat="1" ht="16.5" customHeight="1" thickBot="1" x14ac:dyDescent="0.3">
      <c r="A3" s="1290" t="s">
        <v>846</v>
      </c>
      <c r="B3" s="1290"/>
      <c r="C3" s="1290"/>
      <c r="D3" s="605"/>
      <c r="E3" s="605"/>
      <c r="F3" s="604"/>
    </row>
    <row r="4" spans="1:6" ht="13.8" thickBot="1" x14ac:dyDescent="0.3">
      <c r="A4" s="172" t="s">
        <v>153</v>
      </c>
      <c r="B4" s="79" t="s">
        <v>50</v>
      </c>
      <c r="C4" s="154" t="s">
        <v>845</v>
      </c>
    </row>
    <row r="5" spans="1:6" s="32" customFormat="1" ht="12.9" customHeight="1" thickBot="1" x14ac:dyDescent="0.3">
      <c r="A5" s="71" t="s">
        <v>382</v>
      </c>
      <c r="B5" s="72" t="s">
        <v>383</v>
      </c>
      <c r="C5" s="73" t="s">
        <v>384</v>
      </c>
    </row>
    <row r="6" spans="1:6" s="32" customFormat="1" ht="15.9" customHeight="1" thickBot="1" x14ac:dyDescent="0.3">
      <c r="A6" s="81"/>
      <c r="B6" s="82" t="s">
        <v>52</v>
      </c>
      <c r="C6" s="155"/>
    </row>
    <row r="7" spans="1:6" s="32" customFormat="1" ht="12.15" customHeight="1" thickBot="1" x14ac:dyDescent="0.3">
      <c r="A7" s="25" t="s">
        <v>16</v>
      </c>
      <c r="B7" s="18" t="s">
        <v>179</v>
      </c>
      <c r="C7" s="255">
        <f t="shared" ref="C7" si="0">+C8+C9+C10+C13+C14+C15</f>
        <v>1859631776</v>
      </c>
    </row>
    <row r="8" spans="1:6" s="38" customFormat="1" ht="12.15" customHeight="1" x14ac:dyDescent="0.2">
      <c r="A8" s="193" t="s">
        <v>85</v>
      </c>
      <c r="B8" s="180" t="s">
        <v>180</v>
      </c>
      <c r="C8" s="214">
        <v>335527915</v>
      </c>
    </row>
    <row r="9" spans="1:6" s="39" customFormat="1" ht="12.15" customHeight="1" x14ac:dyDescent="0.2">
      <c r="A9" s="194" t="s">
        <v>86</v>
      </c>
      <c r="B9" s="181" t="s">
        <v>181</v>
      </c>
      <c r="C9" s="114">
        <v>495393274</v>
      </c>
    </row>
    <row r="10" spans="1:6" s="39" customFormat="1" ht="13.8" x14ac:dyDescent="0.2">
      <c r="A10" s="194" t="s">
        <v>87</v>
      </c>
      <c r="B10" s="181" t="s">
        <v>696</v>
      </c>
      <c r="C10" s="114">
        <f t="shared" ref="C10" si="1">SUM(C11:C12)</f>
        <v>756099249</v>
      </c>
    </row>
    <row r="11" spans="1:6" s="39" customFormat="1" ht="12.15" customHeight="1" x14ac:dyDescent="0.2">
      <c r="A11" s="194" t="s">
        <v>694</v>
      </c>
      <c r="B11" s="181" t="s">
        <v>697</v>
      </c>
      <c r="C11" s="114">
        <v>400213287</v>
      </c>
    </row>
    <row r="12" spans="1:6" s="39" customFormat="1" ht="12.15" customHeight="1" x14ac:dyDescent="0.2">
      <c r="A12" s="194" t="s">
        <v>695</v>
      </c>
      <c r="B12" s="181" t="s">
        <v>698</v>
      </c>
      <c r="C12" s="114">
        <v>355885962</v>
      </c>
    </row>
    <row r="13" spans="1:6" s="39" customFormat="1" ht="12.15" customHeight="1" x14ac:dyDescent="0.2">
      <c r="A13" s="194" t="s">
        <v>88</v>
      </c>
      <c r="B13" s="181" t="s">
        <v>183</v>
      </c>
      <c r="C13" s="114">
        <v>59224282</v>
      </c>
    </row>
    <row r="14" spans="1:6" s="39" customFormat="1" ht="12.15" customHeight="1" x14ac:dyDescent="0.2">
      <c r="A14" s="194" t="s">
        <v>111</v>
      </c>
      <c r="B14" s="181" t="s">
        <v>443</v>
      </c>
      <c r="C14" s="114">
        <f>209028826+1300000+3058230</f>
        <v>213387056</v>
      </c>
    </row>
    <row r="15" spans="1:6" s="38" customFormat="1" ht="12.15" customHeight="1" thickBot="1" x14ac:dyDescent="0.25">
      <c r="A15" s="195" t="s">
        <v>89</v>
      </c>
      <c r="B15" s="182" t="s">
        <v>386</v>
      </c>
      <c r="C15" s="99"/>
    </row>
    <row r="16" spans="1:6" s="38" customFormat="1" ht="12.15" customHeight="1" thickBot="1" x14ac:dyDescent="0.3">
      <c r="A16" s="25" t="s">
        <v>17</v>
      </c>
      <c r="B16" s="105" t="s">
        <v>184</v>
      </c>
      <c r="C16" s="255">
        <f t="shared" ref="C16" si="2">+C17+C18+C19+C20+C21</f>
        <v>76567031</v>
      </c>
    </row>
    <row r="17" spans="1:3" s="38" customFormat="1" ht="12.15" customHeight="1" x14ac:dyDescent="0.2">
      <c r="A17" s="193" t="s">
        <v>91</v>
      </c>
      <c r="B17" s="180" t="s">
        <v>185</v>
      </c>
      <c r="C17" s="256"/>
    </row>
    <row r="18" spans="1:3" s="38" customFormat="1" ht="12.15" customHeight="1" x14ac:dyDescent="0.2">
      <c r="A18" s="194" t="s">
        <v>92</v>
      </c>
      <c r="B18" s="181" t="s">
        <v>186</v>
      </c>
      <c r="C18" s="99"/>
    </row>
    <row r="19" spans="1:3" s="38" customFormat="1" ht="12.15" customHeight="1" x14ac:dyDescent="0.2">
      <c r="A19" s="194" t="s">
        <v>93</v>
      </c>
      <c r="B19" s="181" t="s">
        <v>352</v>
      </c>
      <c r="C19" s="99"/>
    </row>
    <row r="20" spans="1:3" s="38" customFormat="1" ht="12.15" customHeight="1" x14ac:dyDescent="0.2">
      <c r="A20" s="194" t="s">
        <v>94</v>
      </c>
      <c r="B20" s="181" t="s">
        <v>353</v>
      </c>
      <c r="C20" s="99"/>
    </row>
    <row r="21" spans="1:3" s="38" customFormat="1" ht="12.15" customHeight="1" x14ac:dyDescent="0.2">
      <c r="A21" s="194" t="s">
        <v>95</v>
      </c>
      <c r="B21" s="181" t="s">
        <v>187</v>
      </c>
      <c r="C21" s="246">
        <f>76529532+37499</f>
        <v>76567031</v>
      </c>
    </row>
    <row r="22" spans="1:3" s="39" customFormat="1" ht="12.15" customHeight="1" thickBot="1" x14ac:dyDescent="0.25">
      <c r="A22" s="195" t="s">
        <v>104</v>
      </c>
      <c r="B22" s="182" t="s">
        <v>188</v>
      </c>
      <c r="C22" s="249">
        <f>23087532+37499</f>
        <v>23125031</v>
      </c>
    </row>
    <row r="23" spans="1:3" s="39" customFormat="1" ht="12.15" customHeight="1" thickBot="1" x14ac:dyDescent="0.3">
      <c r="A23" s="25" t="s">
        <v>18</v>
      </c>
      <c r="B23" s="18" t="s">
        <v>189</v>
      </c>
      <c r="C23" s="255">
        <f t="shared" ref="C23" si="3">+C24+C25+C26+C27+C28</f>
        <v>189350492</v>
      </c>
    </row>
    <row r="24" spans="1:3" s="39" customFormat="1" ht="12.15" customHeight="1" x14ac:dyDescent="0.2">
      <c r="A24" s="193" t="s">
        <v>74</v>
      </c>
      <c r="B24" s="180" t="s">
        <v>190</v>
      </c>
      <c r="C24" s="639"/>
    </row>
    <row r="25" spans="1:3" s="38" customFormat="1" ht="12.15" customHeight="1" x14ac:dyDescent="0.2">
      <c r="A25" s="194" t="s">
        <v>75</v>
      </c>
      <c r="B25" s="181" t="s">
        <v>191</v>
      </c>
      <c r="C25" s="246"/>
    </row>
    <row r="26" spans="1:3" s="39" customFormat="1" ht="12.15" customHeight="1" x14ac:dyDescent="0.2">
      <c r="A26" s="194" t="s">
        <v>76</v>
      </c>
      <c r="B26" s="181" t="s">
        <v>354</v>
      </c>
      <c r="C26" s="246"/>
    </row>
    <row r="27" spans="1:3" s="39" customFormat="1" ht="12.15" customHeight="1" x14ac:dyDescent="0.2">
      <c r="A27" s="194" t="s">
        <v>77</v>
      </c>
      <c r="B27" s="181" t="s">
        <v>355</v>
      </c>
      <c r="C27" s="246"/>
    </row>
    <row r="28" spans="1:3" s="39" customFormat="1" ht="12.15" customHeight="1" x14ac:dyDescent="0.2">
      <c r="A28" s="194" t="s">
        <v>122</v>
      </c>
      <c r="B28" s="181" t="s">
        <v>192</v>
      </c>
      <c r="C28" s="246">
        <f>180273229+9077263</f>
        <v>189350492</v>
      </c>
    </row>
    <row r="29" spans="1:3" s="39" customFormat="1" ht="12.15" customHeight="1" thickBot="1" x14ac:dyDescent="0.25">
      <c r="A29" s="195" t="s">
        <v>123</v>
      </c>
      <c r="B29" s="182" t="s">
        <v>193</v>
      </c>
      <c r="C29" s="249">
        <f>180273229+9077263</f>
        <v>189350492</v>
      </c>
    </row>
    <row r="30" spans="1:3" s="39" customFormat="1" ht="12.15" customHeight="1" thickBot="1" x14ac:dyDescent="0.3">
      <c r="A30" s="25" t="s">
        <v>124</v>
      </c>
      <c r="B30" s="18" t="s">
        <v>194</v>
      </c>
      <c r="C30" s="257">
        <f t="shared" ref="C30" si="4">+C31++C35+C36</f>
        <v>753676479</v>
      </c>
    </row>
    <row r="31" spans="1:3" s="39" customFormat="1" ht="12.15" customHeight="1" x14ac:dyDescent="0.2">
      <c r="A31" s="193" t="s">
        <v>195</v>
      </c>
      <c r="B31" s="180" t="s">
        <v>553</v>
      </c>
      <c r="C31" s="1259">
        <f>SUM(C32:C33)</f>
        <v>729876479</v>
      </c>
    </row>
    <row r="32" spans="1:3" s="39" customFormat="1" ht="12.15" customHeight="1" x14ac:dyDescent="0.2">
      <c r="A32" s="194" t="s">
        <v>196</v>
      </c>
      <c r="B32" s="181" t="s">
        <v>201</v>
      </c>
      <c r="C32" s="99">
        <v>95000000</v>
      </c>
    </row>
    <row r="33" spans="1:3" s="39" customFormat="1" ht="12.15" customHeight="1" x14ac:dyDescent="0.2">
      <c r="A33" s="194" t="s">
        <v>197</v>
      </c>
      <c r="B33" s="232" t="s">
        <v>552</v>
      </c>
      <c r="C33" s="1258">
        <f>616000000+18876479</f>
        <v>634876479</v>
      </c>
    </row>
    <row r="34" spans="1:3" s="39" customFormat="1" ht="12.15" customHeight="1" x14ac:dyDescent="0.2">
      <c r="A34" s="194" t="s">
        <v>198</v>
      </c>
      <c r="B34" s="181" t="s">
        <v>469</v>
      </c>
      <c r="C34" s="246"/>
    </row>
    <row r="35" spans="1:3" s="39" customFormat="1" ht="12.15" customHeight="1" x14ac:dyDescent="0.2">
      <c r="A35" s="194" t="s">
        <v>199</v>
      </c>
      <c r="B35" s="181" t="s">
        <v>203</v>
      </c>
      <c r="C35" s="99">
        <v>1000000</v>
      </c>
    </row>
    <row r="36" spans="1:3" s="39" customFormat="1" ht="12.15" customHeight="1" thickBot="1" x14ac:dyDescent="0.25">
      <c r="A36" s="195" t="s">
        <v>200</v>
      </c>
      <c r="B36" s="182" t="s">
        <v>204</v>
      </c>
      <c r="C36" s="249">
        <v>22800000</v>
      </c>
    </row>
    <row r="37" spans="1:3" s="39" customFormat="1" ht="12.15" customHeight="1" thickBot="1" x14ac:dyDescent="0.3">
      <c r="A37" s="25" t="s">
        <v>20</v>
      </c>
      <c r="B37" s="18" t="s">
        <v>387</v>
      </c>
      <c r="C37" s="255">
        <f t="shared" ref="C37" si="5">SUM(C38:C48)</f>
        <v>94972168</v>
      </c>
    </row>
    <row r="38" spans="1:3" s="39" customFormat="1" ht="12.15" customHeight="1" x14ac:dyDescent="0.2">
      <c r="A38" s="193" t="s">
        <v>78</v>
      </c>
      <c r="B38" s="180" t="s">
        <v>207</v>
      </c>
      <c r="C38" s="639"/>
    </row>
    <row r="39" spans="1:3" s="39" customFormat="1" ht="12.15" customHeight="1" x14ac:dyDescent="0.2">
      <c r="A39" s="194" t="s">
        <v>79</v>
      </c>
      <c r="B39" s="181" t="s">
        <v>208</v>
      </c>
      <c r="C39" s="1258">
        <f>20241976+3878895</f>
        <v>24120871</v>
      </c>
    </row>
    <row r="40" spans="1:3" s="39" customFormat="1" ht="12.15" customHeight="1" x14ac:dyDescent="0.2">
      <c r="A40" s="194" t="s">
        <v>80</v>
      </c>
      <c r="B40" s="181" t="s">
        <v>209</v>
      </c>
      <c r="C40" s="246">
        <v>17799041</v>
      </c>
    </row>
    <row r="41" spans="1:3" s="39" customFormat="1" ht="12.15" customHeight="1" x14ac:dyDescent="0.2">
      <c r="A41" s="194" t="s">
        <v>126</v>
      </c>
      <c r="B41" s="181" t="s">
        <v>210</v>
      </c>
      <c r="C41" s="246">
        <v>3395000</v>
      </c>
    </row>
    <row r="42" spans="1:3" s="39" customFormat="1" ht="12.15" customHeight="1" x14ac:dyDescent="0.2">
      <c r="A42" s="194" t="s">
        <v>127</v>
      </c>
      <c r="B42" s="181" t="s">
        <v>211</v>
      </c>
      <c r="C42" s="246"/>
    </row>
    <row r="43" spans="1:3" s="39" customFormat="1" ht="12.15" customHeight="1" x14ac:dyDescent="0.2">
      <c r="A43" s="194" t="s">
        <v>128</v>
      </c>
      <c r="B43" s="181" t="s">
        <v>212</v>
      </c>
      <c r="C43" s="1258">
        <f>11133726+1047302</f>
        <v>12181028</v>
      </c>
    </row>
    <row r="44" spans="1:3" s="39" customFormat="1" ht="12.15" customHeight="1" x14ac:dyDescent="0.2">
      <c r="A44" s="194" t="s">
        <v>129</v>
      </c>
      <c r="B44" s="181" t="s">
        <v>213</v>
      </c>
      <c r="C44" s="246">
        <v>36976228</v>
      </c>
    </row>
    <row r="45" spans="1:3" s="39" customFormat="1" ht="12.15" customHeight="1" x14ac:dyDescent="0.2">
      <c r="A45" s="194" t="s">
        <v>130</v>
      </c>
      <c r="B45" s="181" t="s">
        <v>214</v>
      </c>
      <c r="C45" s="246"/>
    </row>
    <row r="46" spans="1:3" s="39" customFormat="1" ht="12.15" customHeight="1" x14ac:dyDescent="0.2">
      <c r="A46" s="194" t="s">
        <v>205</v>
      </c>
      <c r="B46" s="181" t="s">
        <v>215</v>
      </c>
      <c r="C46" s="246"/>
    </row>
    <row r="47" spans="1:3" s="39" customFormat="1" ht="12.15" customHeight="1" x14ac:dyDescent="0.2">
      <c r="A47" s="195" t="s">
        <v>206</v>
      </c>
      <c r="B47" s="182" t="s">
        <v>388</v>
      </c>
      <c r="C47" s="249"/>
    </row>
    <row r="48" spans="1:3" s="39" customFormat="1" ht="12.15" customHeight="1" thickBot="1" x14ac:dyDescent="0.25">
      <c r="A48" s="195" t="s">
        <v>389</v>
      </c>
      <c r="B48" s="182" t="s">
        <v>216</v>
      </c>
      <c r="C48" s="249">
        <v>500000</v>
      </c>
    </row>
    <row r="49" spans="1:3" s="39" customFormat="1" ht="12.15" customHeight="1" thickBot="1" x14ac:dyDescent="0.3">
      <c r="A49" s="25" t="s">
        <v>21</v>
      </c>
      <c r="B49" s="18" t="s">
        <v>217</v>
      </c>
      <c r="C49" s="255">
        <f t="shared" ref="C49" si="6">SUM(C50:C54)</f>
        <v>20000000</v>
      </c>
    </row>
    <row r="50" spans="1:3" s="39" customFormat="1" ht="12.15" customHeight="1" x14ac:dyDescent="0.2">
      <c r="A50" s="193" t="s">
        <v>81</v>
      </c>
      <c r="B50" s="180" t="s">
        <v>221</v>
      </c>
      <c r="C50" s="639"/>
    </row>
    <row r="51" spans="1:3" s="39" customFormat="1" ht="12.15" customHeight="1" x14ac:dyDescent="0.2">
      <c r="A51" s="194" t="s">
        <v>82</v>
      </c>
      <c r="B51" s="181" t="s">
        <v>222</v>
      </c>
      <c r="C51" s="246">
        <v>20000000</v>
      </c>
    </row>
    <row r="52" spans="1:3" s="39" customFormat="1" ht="12.15" customHeight="1" x14ac:dyDescent="0.2">
      <c r="A52" s="194" t="s">
        <v>218</v>
      </c>
      <c r="B52" s="181" t="s">
        <v>223</v>
      </c>
      <c r="C52" s="246"/>
    </row>
    <row r="53" spans="1:3" s="39" customFormat="1" ht="12.15" customHeight="1" x14ac:dyDescent="0.2">
      <c r="A53" s="194" t="s">
        <v>219</v>
      </c>
      <c r="B53" s="181" t="s">
        <v>224</v>
      </c>
      <c r="C53" s="246"/>
    </row>
    <row r="54" spans="1:3" s="39" customFormat="1" ht="12.15" customHeight="1" thickBot="1" x14ac:dyDescent="0.25">
      <c r="A54" s="195" t="s">
        <v>220</v>
      </c>
      <c r="B54" s="182" t="s">
        <v>225</v>
      </c>
      <c r="C54" s="249"/>
    </row>
    <row r="55" spans="1:3" s="39" customFormat="1" ht="12.15" customHeight="1" thickBot="1" x14ac:dyDescent="0.3">
      <c r="A55" s="25" t="s">
        <v>131</v>
      </c>
      <c r="B55" s="18" t="s">
        <v>226</v>
      </c>
      <c r="C55" s="255">
        <f t="shared" ref="C55" si="7">SUM(C56:C58)</f>
        <v>50000</v>
      </c>
    </row>
    <row r="56" spans="1:3" s="39" customFormat="1" ht="12.15" customHeight="1" x14ac:dyDescent="0.2">
      <c r="A56" s="193" t="s">
        <v>83</v>
      </c>
      <c r="B56" s="180" t="s">
        <v>227</v>
      </c>
      <c r="C56" s="256">
        <v>50000</v>
      </c>
    </row>
    <row r="57" spans="1:3" s="39" customFormat="1" ht="12.15" customHeight="1" x14ac:dyDescent="0.2">
      <c r="A57" s="194" t="s">
        <v>84</v>
      </c>
      <c r="B57" s="181" t="s">
        <v>356</v>
      </c>
      <c r="C57" s="246"/>
    </row>
    <row r="58" spans="1:3" s="39" customFormat="1" ht="12.15" customHeight="1" x14ac:dyDescent="0.2">
      <c r="A58" s="194" t="s">
        <v>230</v>
      </c>
      <c r="B58" s="181" t="s">
        <v>228</v>
      </c>
      <c r="C58" s="246"/>
    </row>
    <row r="59" spans="1:3" s="39" customFormat="1" ht="12.15" customHeight="1" thickBot="1" x14ac:dyDescent="0.25">
      <c r="A59" s="195" t="s">
        <v>231</v>
      </c>
      <c r="B59" s="182" t="s">
        <v>229</v>
      </c>
      <c r="C59" s="100"/>
    </row>
    <row r="60" spans="1:3" s="39" customFormat="1" ht="12.15" customHeight="1" thickBot="1" x14ac:dyDescent="0.3">
      <c r="A60" s="25" t="s">
        <v>23</v>
      </c>
      <c r="B60" s="105" t="s">
        <v>232</v>
      </c>
      <c r="C60" s="255">
        <f t="shared" ref="C60" si="8">SUM(C61:C63)</f>
        <v>0</v>
      </c>
    </row>
    <row r="61" spans="1:3" s="39" customFormat="1" ht="12.15" customHeight="1" x14ac:dyDescent="0.2">
      <c r="A61" s="193" t="s">
        <v>132</v>
      </c>
      <c r="B61" s="180" t="s">
        <v>234</v>
      </c>
      <c r="C61" s="246"/>
    </row>
    <row r="62" spans="1:3" s="39" customFormat="1" ht="12.15" customHeight="1" x14ac:dyDescent="0.2">
      <c r="A62" s="194" t="s">
        <v>133</v>
      </c>
      <c r="B62" s="181" t="s">
        <v>357</v>
      </c>
      <c r="C62" s="246"/>
    </row>
    <row r="63" spans="1:3" s="39" customFormat="1" ht="12.15" customHeight="1" x14ac:dyDescent="0.2">
      <c r="A63" s="194" t="s">
        <v>158</v>
      </c>
      <c r="B63" s="181" t="s">
        <v>235</v>
      </c>
      <c r="C63" s="246"/>
    </row>
    <row r="64" spans="1:3" s="39" customFormat="1" ht="12.15" customHeight="1" thickBot="1" x14ac:dyDescent="0.25">
      <c r="A64" s="195" t="s">
        <v>233</v>
      </c>
      <c r="B64" s="182" t="s">
        <v>236</v>
      </c>
      <c r="C64" s="246"/>
    </row>
    <row r="65" spans="1:3" s="39" customFormat="1" ht="12.15" customHeight="1" thickBot="1" x14ac:dyDescent="0.3">
      <c r="A65" s="25" t="s">
        <v>24</v>
      </c>
      <c r="B65" s="18" t="s">
        <v>237</v>
      </c>
      <c r="C65" s="257">
        <f t="shared" ref="C65" si="9">+C7+C16+C23+C30+C37+C49+C55+C60</f>
        <v>2994247946</v>
      </c>
    </row>
    <row r="66" spans="1:3" s="39" customFormat="1" ht="12.15" customHeight="1" thickBot="1" x14ac:dyDescent="0.25">
      <c r="A66" s="196" t="s">
        <v>327</v>
      </c>
      <c r="B66" s="105" t="s">
        <v>239</v>
      </c>
      <c r="C66" s="255">
        <f t="shared" ref="C66" si="10">SUM(C67:C69)</f>
        <v>1100000000</v>
      </c>
    </row>
    <row r="67" spans="1:3" s="39" customFormat="1" ht="12.15" customHeight="1" x14ac:dyDescent="0.2">
      <c r="A67" s="193" t="s">
        <v>270</v>
      </c>
      <c r="B67" s="180" t="s">
        <v>240</v>
      </c>
      <c r="C67" s="246"/>
    </row>
    <row r="68" spans="1:3" s="39" customFormat="1" ht="12.15" customHeight="1" x14ac:dyDescent="0.2">
      <c r="A68" s="194" t="s">
        <v>279</v>
      </c>
      <c r="B68" s="181" t="s">
        <v>241</v>
      </c>
      <c r="C68" s="246">
        <v>1100000000</v>
      </c>
    </row>
    <row r="69" spans="1:3" s="39" customFormat="1" ht="12.15" customHeight="1" thickBot="1" x14ac:dyDescent="0.25">
      <c r="A69" s="195" t="s">
        <v>280</v>
      </c>
      <c r="B69" s="183" t="s">
        <v>242</v>
      </c>
      <c r="C69" s="246"/>
    </row>
    <row r="70" spans="1:3" s="39" customFormat="1" ht="12.15" customHeight="1" thickBot="1" x14ac:dyDescent="0.25">
      <c r="A70" s="196" t="s">
        <v>243</v>
      </c>
      <c r="B70" s="105" t="s">
        <v>244</v>
      </c>
      <c r="C70" s="255">
        <f t="shared" ref="C70" si="11">SUM(C71:C74)</f>
        <v>0</v>
      </c>
    </row>
    <row r="71" spans="1:3" s="39" customFormat="1" ht="12.15" customHeight="1" x14ac:dyDescent="0.2">
      <c r="A71" s="193" t="s">
        <v>112</v>
      </c>
      <c r="B71" s="180" t="s">
        <v>245</v>
      </c>
      <c r="C71" s="246"/>
    </row>
    <row r="72" spans="1:3" s="39" customFormat="1" ht="12.15" customHeight="1" x14ac:dyDescent="0.2">
      <c r="A72" s="194" t="s">
        <v>113</v>
      </c>
      <c r="B72" s="181" t="s">
        <v>246</v>
      </c>
      <c r="C72" s="246"/>
    </row>
    <row r="73" spans="1:3" s="39" customFormat="1" ht="12.15" customHeight="1" x14ac:dyDescent="0.2">
      <c r="A73" s="194" t="s">
        <v>271</v>
      </c>
      <c r="B73" s="181" t="s">
        <v>247</v>
      </c>
      <c r="C73" s="246"/>
    </row>
    <row r="74" spans="1:3" s="39" customFormat="1" ht="12.15" customHeight="1" thickBot="1" x14ac:dyDescent="0.25">
      <c r="A74" s="195" t="s">
        <v>272</v>
      </c>
      <c r="B74" s="182" t="s">
        <v>248</v>
      </c>
      <c r="C74" s="246"/>
    </row>
    <row r="75" spans="1:3" s="39" customFormat="1" ht="12.15" customHeight="1" thickBot="1" x14ac:dyDescent="0.25">
      <c r="A75" s="196" t="s">
        <v>249</v>
      </c>
      <c r="B75" s="105" t="s">
        <v>250</v>
      </c>
      <c r="C75" s="255">
        <f t="shared" ref="C75" si="12">SUM(C76:C77)</f>
        <v>1444475676</v>
      </c>
    </row>
    <row r="76" spans="1:3" s="39" customFormat="1" ht="12.15" customHeight="1" x14ac:dyDescent="0.2">
      <c r="A76" s="193" t="s">
        <v>273</v>
      </c>
      <c r="B76" s="180" t="s">
        <v>251</v>
      </c>
      <c r="C76" s="1258">
        <f>1453279019-8803343</f>
        <v>1444475676</v>
      </c>
    </row>
    <row r="77" spans="1:3" s="39" customFormat="1" ht="12.15" customHeight="1" thickBot="1" x14ac:dyDescent="0.25">
      <c r="A77" s="195" t="s">
        <v>274</v>
      </c>
      <c r="B77" s="182" t="s">
        <v>252</v>
      </c>
      <c r="C77" s="246"/>
    </row>
    <row r="78" spans="1:3" s="38" customFormat="1" ht="12.15" customHeight="1" thickBot="1" x14ac:dyDescent="0.25">
      <c r="A78" s="196" t="s">
        <v>253</v>
      </c>
      <c r="B78" s="105" t="s">
        <v>254</v>
      </c>
      <c r="C78" s="255">
        <f t="shared" ref="C78" si="13">SUM(C79:C81)</f>
        <v>67733205</v>
      </c>
    </row>
    <row r="79" spans="1:3" s="39" customFormat="1" ht="12.15" customHeight="1" x14ac:dyDescent="0.2">
      <c r="A79" s="193" t="s">
        <v>275</v>
      </c>
      <c r="B79" s="180" t="s">
        <v>255</v>
      </c>
      <c r="C79" s="246">
        <v>67733205</v>
      </c>
    </row>
    <row r="80" spans="1:3" s="39" customFormat="1" ht="12.15" customHeight="1" x14ac:dyDescent="0.2">
      <c r="A80" s="194" t="s">
        <v>276</v>
      </c>
      <c r="B80" s="181" t="s">
        <v>256</v>
      </c>
      <c r="C80" s="246"/>
    </row>
    <row r="81" spans="1:4" s="39" customFormat="1" ht="12.15" customHeight="1" thickBot="1" x14ac:dyDescent="0.25">
      <c r="A81" s="195" t="s">
        <v>277</v>
      </c>
      <c r="B81" s="182" t="s">
        <v>257</v>
      </c>
      <c r="C81" s="246"/>
    </row>
    <row r="82" spans="1:4" s="39" customFormat="1" ht="12.15" customHeight="1" thickBot="1" x14ac:dyDescent="0.25">
      <c r="A82" s="196" t="s">
        <v>258</v>
      </c>
      <c r="B82" s="105" t="s">
        <v>278</v>
      </c>
      <c r="C82" s="255">
        <f t="shared" ref="C82" si="14">SUM(C83:C86)</f>
        <v>0</v>
      </c>
    </row>
    <row r="83" spans="1:4" s="39" customFormat="1" ht="12.15" customHeight="1" x14ac:dyDescent="0.2">
      <c r="A83" s="197" t="s">
        <v>259</v>
      </c>
      <c r="B83" s="180" t="s">
        <v>260</v>
      </c>
      <c r="C83" s="246"/>
    </row>
    <row r="84" spans="1:4" s="39" customFormat="1" ht="12.15" customHeight="1" x14ac:dyDescent="0.2">
      <c r="A84" s="198" t="s">
        <v>261</v>
      </c>
      <c r="B84" s="181" t="s">
        <v>262</v>
      </c>
      <c r="C84" s="246"/>
    </row>
    <row r="85" spans="1:4" s="39" customFormat="1" ht="12.15" customHeight="1" x14ac:dyDescent="0.2">
      <c r="A85" s="198" t="s">
        <v>263</v>
      </c>
      <c r="B85" s="181" t="s">
        <v>264</v>
      </c>
      <c r="C85" s="246"/>
    </row>
    <row r="86" spans="1:4" s="38" customFormat="1" ht="12.15" customHeight="1" thickBot="1" x14ac:dyDescent="0.25">
      <c r="A86" s="199" t="s">
        <v>265</v>
      </c>
      <c r="B86" s="182" t="s">
        <v>266</v>
      </c>
      <c r="C86" s="246"/>
    </row>
    <row r="87" spans="1:4" s="38" customFormat="1" ht="12.15" customHeight="1" thickBot="1" x14ac:dyDescent="0.25">
      <c r="A87" s="196" t="s">
        <v>267</v>
      </c>
      <c r="B87" s="105" t="s">
        <v>392</v>
      </c>
      <c r="C87" s="258"/>
    </row>
    <row r="88" spans="1:4" s="38" customFormat="1" ht="12.15" customHeight="1" thickBot="1" x14ac:dyDescent="0.25">
      <c r="A88" s="196" t="s">
        <v>444</v>
      </c>
      <c r="B88" s="105" t="s">
        <v>268</v>
      </c>
      <c r="C88" s="258"/>
    </row>
    <row r="89" spans="1:4" s="38" customFormat="1" ht="12.15" customHeight="1" thickBot="1" x14ac:dyDescent="0.25">
      <c r="A89" s="196" t="s">
        <v>445</v>
      </c>
      <c r="B89" s="187" t="s">
        <v>393</v>
      </c>
      <c r="C89" s="257">
        <f t="shared" ref="C89" si="15">+C66+C70+C75+C78+C82+C88+C87</f>
        <v>2612208881</v>
      </c>
    </row>
    <row r="90" spans="1:4" s="38" customFormat="1" ht="12.15" customHeight="1" thickBot="1" x14ac:dyDescent="0.25">
      <c r="A90" s="200" t="s">
        <v>446</v>
      </c>
      <c r="B90" s="188" t="s">
        <v>447</v>
      </c>
      <c r="C90" s="257">
        <f t="shared" ref="C90" si="16">+C65+C89</f>
        <v>5606456827</v>
      </c>
      <c r="D90" s="33"/>
    </row>
    <row r="91" spans="1:4" s="32" customFormat="1" ht="16.5" customHeight="1" thickBot="1" x14ac:dyDescent="0.3">
      <c r="A91" s="1335" t="s">
        <v>53</v>
      </c>
      <c r="B91" s="1336"/>
      <c r="C91" s="1337"/>
    </row>
    <row r="92" spans="1:4" s="213" customFormat="1" ht="12.15" customHeight="1" thickBot="1" x14ac:dyDescent="0.3">
      <c r="A92" s="173" t="s">
        <v>16</v>
      </c>
      <c r="B92" s="23" t="s">
        <v>457</v>
      </c>
      <c r="C92" s="261">
        <f>+C93+C94+C95+C96+C97+C110</f>
        <v>878982787</v>
      </c>
    </row>
    <row r="93" spans="1:4" ht="12.15" customHeight="1" x14ac:dyDescent="0.25">
      <c r="A93" s="201" t="s">
        <v>85</v>
      </c>
      <c r="B93" s="7" t="s">
        <v>46</v>
      </c>
      <c r="C93" s="1260">
        <f>76096047+134737</f>
        <v>76230784</v>
      </c>
    </row>
    <row r="94" spans="1:4" ht="12.15" customHeight="1" x14ac:dyDescent="0.25">
      <c r="A94" s="194" t="s">
        <v>86</v>
      </c>
      <c r="B94" s="5" t="s">
        <v>134</v>
      </c>
      <c r="C94" s="1258">
        <f>9534077+17516</f>
        <v>9551593</v>
      </c>
    </row>
    <row r="95" spans="1:4" ht="12.15" customHeight="1" x14ac:dyDescent="0.25">
      <c r="A95" s="194" t="s">
        <v>87</v>
      </c>
      <c r="B95" s="5" t="s">
        <v>110</v>
      </c>
      <c r="C95" s="1084">
        <f>396165606+49999-1664021</f>
        <v>394551584</v>
      </c>
    </row>
    <row r="96" spans="1:4" ht="12.15" customHeight="1" x14ac:dyDescent="0.25">
      <c r="A96" s="194" t="s">
        <v>88</v>
      </c>
      <c r="B96" s="8" t="s">
        <v>135</v>
      </c>
      <c r="C96" s="249">
        <v>48800000</v>
      </c>
    </row>
    <row r="97" spans="1:3" ht="12.15" customHeight="1" x14ac:dyDescent="0.25">
      <c r="A97" s="194" t="s">
        <v>99</v>
      </c>
      <c r="B97" s="16" t="s">
        <v>136</v>
      </c>
      <c r="C97" s="249">
        <f>SUM(C98:C109)</f>
        <v>209460582</v>
      </c>
    </row>
    <row r="98" spans="1:3" ht="12.15" customHeight="1" x14ac:dyDescent="0.25">
      <c r="A98" s="194" t="s">
        <v>89</v>
      </c>
      <c r="B98" s="5" t="s">
        <v>448</v>
      </c>
      <c r="C98" s="1084">
        <v>8730222</v>
      </c>
    </row>
    <row r="99" spans="1:3" ht="12.15" customHeight="1" x14ac:dyDescent="0.2">
      <c r="A99" s="194" t="s">
        <v>90</v>
      </c>
      <c r="B99" s="58" t="s">
        <v>397</v>
      </c>
      <c r="C99" s="249">
        <v>41408678</v>
      </c>
    </row>
    <row r="100" spans="1:3" ht="12.15" customHeight="1" x14ac:dyDescent="0.2">
      <c r="A100" s="194" t="s">
        <v>100</v>
      </c>
      <c r="B100" s="58" t="s">
        <v>398</v>
      </c>
      <c r="C100" s="1084">
        <v>2275535</v>
      </c>
    </row>
    <row r="101" spans="1:3" ht="12.15" customHeight="1" x14ac:dyDescent="0.2">
      <c r="A101" s="194" t="s">
        <v>101</v>
      </c>
      <c r="B101" s="58" t="s">
        <v>284</v>
      </c>
      <c r="C101" s="249"/>
    </row>
    <row r="102" spans="1:3" ht="12.15" customHeight="1" x14ac:dyDescent="0.25">
      <c r="A102" s="194" t="s">
        <v>102</v>
      </c>
      <c r="B102" s="59" t="s">
        <v>285</v>
      </c>
      <c r="C102" s="249"/>
    </row>
    <row r="103" spans="1:3" ht="12.15" customHeight="1" x14ac:dyDescent="0.25">
      <c r="A103" s="194" t="s">
        <v>103</v>
      </c>
      <c r="B103" s="59" t="s">
        <v>286</v>
      </c>
      <c r="C103" s="249"/>
    </row>
    <row r="104" spans="1:3" ht="12.15" customHeight="1" x14ac:dyDescent="0.2">
      <c r="A104" s="194" t="s">
        <v>105</v>
      </c>
      <c r="B104" s="58" t="s">
        <v>287</v>
      </c>
      <c r="C104" s="1084">
        <f>1644313+2527201</f>
        <v>4171514</v>
      </c>
    </row>
    <row r="105" spans="1:3" ht="12.15" customHeight="1" x14ac:dyDescent="0.2">
      <c r="A105" s="194" t="s">
        <v>137</v>
      </c>
      <c r="B105" s="58" t="s">
        <v>288</v>
      </c>
      <c r="C105" s="249"/>
    </row>
    <row r="106" spans="1:3" ht="12.15" customHeight="1" x14ac:dyDescent="0.25">
      <c r="A106" s="194" t="s">
        <v>282</v>
      </c>
      <c r="B106" s="59" t="s">
        <v>289</v>
      </c>
      <c r="C106" s="249"/>
    </row>
    <row r="107" spans="1:3" ht="12.15" customHeight="1" x14ac:dyDescent="0.25">
      <c r="A107" s="202" t="s">
        <v>283</v>
      </c>
      <c r="B107" s="60" t="s">
        <v>290</v>
      </c>
      <c r="C107" s="249"/>
    </row>
    <row r="108" spans="1:3" ht="12.15" customHeight="1" x14ac:dyDescent="0.25">
      <c r="A108" s="194" t="s">
        <v>399</v>
      </c>
      <c r="B108" s="60" t="s">
        <v>291</v>
      </c>
      <c r="C108" s="249"/>
    </row>
    <row r="109" spans="1:3" ht="12.15" customHeight="1" x14ac:dyDescent="0.25">
      <c r="A109" s="194" t="s">
        <v>400</v>
      </c>
      <c r="B109" s="59" t="s">
        <v>292</v>
      </c>
      <c r="C109" s="246">
        <v>152874633</v>
      </c>
    </row>
    <row r="110" spans="1:3" ht="12.15" customHeight="1" x14ac:dyDescent="0.25">
      <c r="A110" s="194" t="s">
        <v>401</v>
      </c>
      <c r="B110" s="8" t="s">
        <v>47</v>
      </c>
      <c r="C110" s="246">
        <f t="shared" ref="C110" si="17">SUM(C111:C112)</f>
        <v>140388244</v>
      </c>
    </row>
    <row r="111" spans="1:3" ht="12.15" customHeight="1" x14ac:dyDescent="0.25">
      <c r="A111" s="195" t="s">
        <v>402</v>
      </c>
      <c r="B111" s="5" t="s">
        <v>449</v>
      </c>
      <c r="C111" s="1084">
        <f>10000000+8212136</f>
        <v>18212136</v>
      </c>
    </row>
    <row r="112" spans="1:3" ht="12.15" customHeight="1" thickBot="1" x14ac:dyDescent="0.3">
      <c r="A112" s="203" t="s">
        <v>404</v>
      </c>
      <c r="B112" s="61" t="s">
        <v>450</v>
      </c>
      <c r="C112" s="1261">
        <f>132176108-10000000</f>
        <v>122176108</v>
      </c>
    </row>
    <row r="113" spans="1:4" ht="12.15" customHeight="1" thickBot="1" x14ac:dyDescent="0.3">
      <c r="A113" s="25" t="s">
        <v>17</v>
      </c>
      <c r="B113" s="22" t="s">
        <v>293</v>
      </c>
      <c r="C113" s="255">
        <f t="shared" ref="C113" si="18">+C114+C116+C118</f>
        <v>1503875942</v>
      </c>
    </row>
    <row r="114" spans="1:4" ht="12.15" customHeight="1" x14ac:dyDescent="0.25">
      <c r="A114" s="193" t="s">
        <v>91</v>
      </c>
      <c r="B114" s="5" t="s">
        <v>157</v>
      </c>
      <c r="C114" s="1262">
        <f>458792425+1300000+12122993+1134036</f>
        <v>473349454</v>
      </c>
    </row>
    <row r="115" spans="1:4" ht="12.15" customHeight="1" x14ac:dyDescent="0.25">
      <c r="A115" s="193" t="s">
        <v>92</v>
      </c>
      <c r="B115" s="9" t="s">
        <v>297</v>
      </c>
      <c r="C115" s="1262">
        <f>241263068+12122993+1134036</f>
        <v>254520097</v>
      </c>
    </row>
    <row r="116" spans="1:4" ht="12.15" customHeight="1" x14ac:dyDescent="0.25">
      <c r="A116" s="193" t="s">
        <v>93</v>
      </c>
      <c r="B116" s="9" t="s">
        <v>138</v>
      </c>
      <c r="C116" s="246">
        <v>976239214</v>
      </c>
    </row>
    <row r="117" spans="1:4" ht="12.15" customHeight="1" x14ac:dyDescent="0.25">
      <c r="A117" s="193" t="s">
        <v>94</v>
      </c>
      <c r="B117" s="9" t="s">
        <v>298</v>
      </c>
      <c r="C117" s="246">
        <v>605613240</v>
      </c>
    </row>
    <row r="118" spans="1:4" ht="12.15" customHeight="1" x14ac:dyDescent="0.25">
      <c r="A118" s="193" t="s">
        <v>95</v>
      </c>
      <c r="B118" s="107" t="s">
        <v>159</v>
      </c>
      <c r="C118" s="246">
        <f t="shared" ref="C118" si="19">SUM(C119:C126)</f>
        <v>54287274</v>
      </c>
    </row>
    <row r="119" spans="1:4" ht="12.15" customHeight="1" x14ac:dyDescent="0.25">
      <c r="A119" s="193" t="s">
        <v>104</v>
      </c>
      <c r="B119" s="106" t="s">
        <v>358</v>
      </c>
      <c r="C119" s="99"/>
    </row>
    <row r="120" spans="1:4" ht="12.15" customHeight="1" x14ac:dyDescent="0.25">
      <c r="A120" s="193" t="s">
        <v>106</v>
      </c>
      <c r="B120" s="177" t="s">
        <v>303</v>
      </c>
      <c r="C120" s="99"/>
    </row>
    <row r="121" spans="1:4" ht="12.15" customHeight="1" x14ac:dyDescent="0.25">
      <c r="A121" s="193" t="s">
        <v>139</v>
      </c>
      <c r="B121" s="59" t="s">
        <v>286</v>
      </c>
      <c r="C121" s="99"/>
    </row>
    <row r="122" spans="1:4" ht="12.15" customHeight="1" x14ac:dyDescent="0.25">
      <c r="A122" s="193" t="s">
        <v>140</v>
      </c>
      <c r="B122" s="59" t="s">
        <v>302</v>
      </c>
      <c r="C122" s="1258">
        <f>51985155+1027</f>
        <v>51986182</v>
      </c>
    </row>
    <row r="123" spans="1:4" ht="12.15" customHeight="1" x14ac:dyDescent="0.25">
      <c r="A123" s="193" t="s">
        <v>141</v>
      </c>
      <c r="B123" s="59" t="s">
        <v>301</v>
      </c>
      <c r="C123" s="99"/>
    </row>
    <row r="124" spans="1:4" ht="12.15" customHeight="1" x14ac:dyDescent="0.25">
      <c r="A124" s="193" t="s">
        <v>294</v>
      </c>
      <c r="B124" s="59" t="s">
        <v>289</v>
      </c>
      <c r="C124" s="99"/>
    </row>
    <row r="125" spans="1:4" ht="12.15" customHeight="1" x14ac:dyDescent="0.25">
      <c r="A125" s="193" t="s">
        <v>295</v>
      </c>
      <c r="B125" s="59" t="s">
        <v>300</v>
      </c>
      <c r="C125" s="99"/>
    </row>
    <row r="126" spans="1:4" ht="12.15" customHeight="1" thickBot="1" x14ac:dyDescent="0.3">
      <c r="A126" s="202" t="s">
        <v>296</v>
      </c>
      <c r="B126" s="59" t="s">
        <v>299</v>
      </c>
      <c r="C126" s="249">
        <v>2301092</v>
      </c>
    </row>
    <row r="127" spans="1:4" ht="12.15" customHeight="1" thickBot="1" x14ac:dyDescent="0.3">
      <c r="A127" s="25" t="s">
        <v>18</v>
      </c>
      <c r="B127" s="54" t="s">
        <v>406</v>
      </c>
      <c r="C127" s="255">
        <f t="shared" ref="C127" si="20">+C92+C113</f>
        <v>2382858729</v>
      </c>
      <c r="D127" s="250"/>
    </row>
    <row r="128" spans="1:4" ht="12.15" customHeight="1" thickBot="1" x14ac:dyDescent="0.3">
      <c r="A128" s="25" t="s">
        <v>19</v>
      </c>
      <c r="B128" s="54" t="s">
        <v>407</v>
      </c>
      <c r="C128" s="255">
        <f t="shared" ref="C128" si="21">+C129+C130+C131</f>
        <v>1131434330</v>
      </c>
    </row>
    <row r="129" spans="1:9" s="213" customFormat="1" ht="12.15" customHeight="1" x14ac:dyDescent="0.25">
      <c r="A129" s="193" t="s">
        <v>195</v>
      </c>
      <c r="B129" s="6" t="s">
        <v>451</v>
      </c>
      <c r="C129" s="246">
        <v>31434330</v>
      </c>
    </row>
    <row r="130" spans="1:9" ht="12.15" customHeight="1" x14ac:dyDescent="0.25">
      <c r="A130" s="193" t="s">
        <v>198</v>
      </c>
      <c r="B130" s="6" t="s">
        <v>409</v>
      </c>
      <c r="C130" s="246">
        <v>1100000000</v>
      </c>
    </row>
    <row r="131" spans="1:9" ht="12.15" customHeight="1" thickBot="1" x14ac:dyDescent="0.3">
      <c r="A131" s="202" t="s">
        <v>199</v>
      </c>
      <c r="B131" s="4" t="s">
        <v>452</v>
      </c>
      <c r="C131" s="99"/>
    </row>
    <row r="132" spans="1:9" ht="12.15" customHeight="1" thickBot="1" x14ac:dyDescent="0.3">
      <c r="A132" s="25" t="s">
        <v>20</v>
      </c>
      <c r="B132" s="54" t="s">
        <v>411</v>
      </c>
      <c r="C132" s="255">
        <f>+C133+C134+C135+C136+C137+C138</f>
        <v>0</v>
      </c>
    </row>
    <row r="133" spans="1:9" ht="12.15" customHeight="1" x14ac:dyDescent="0.25">
      <c r="A133" s="193" t="s">
        <v>78</v>
      </c>
      <c r="B133" s="6" t="s">
        <v>412</v>
      </c>
      <c r="C133" s="99"/>
    </row>
    <row r="134" spans="1:9" ht="12.15" customHeight="1" x14ac:dyDescent="0.25">
      <c r="A134" s="193" t="s">
        <v>79</v>
      </c>
      <c r="B134" s="6" t="s">
        <v>413</v>
      </c>
      <c r="C134" s="99"/>
    </row>
    <row r="135" spans="1:9" ht="12.15" customHeight="1" x14ac:dyDescent="0.25">
      <c r="A135" s="193" t="s">
        <v>80</v>
      </c>
      <c r="B135" s="6" t="s">
        <v>414</v>
      </c>
      <c r="C135" s="99"/>
    </row>
    <row r="136" spans="1:9" ht="12.15" customHeight="1" x14ac:dyDescent="0.25">
      <c r="A136" s="193" t="s">
        <v>126</v>
      </c>
      <c r="B136" s="6" t="s">
        <v>453</v>
      </c>
      <c r="C136" s="99"/>
    </row>
    <row r="137" spans="1:9" ht="12.15" customHeight="1" x14ac:dyDescent="0.25">
      <c r="A137" s="193" t="s">
        <v>127</v>
      </c>
      <c r="B137" s="6" t="s">
        <v>416</v>
      </c>
      <c r="C137" s="99"/>
    </row>
    <row r="138" spans="1:9" s="213" customFormat="1" ht="12.15" customHeight="1" thickBot="1" x14ac:dyDescent="0.3">
      <c r="A138" s="202" t="s">
        <v>128</v>
      </c>
      <c r="B138" s="4" t="s">
        <v>417</v>
      </c>
      <c r="C138" s="99"/>
    </row>
    <row r="139" spans="1:9" ht="12.15" customHeight="1" thickBot="1" x14ac:dyDescent="0.3">
      <c r="A139" s="25" t="s">
        <v>21</v>
      </c>
      <c r="B139" s="54" t="s">
        <v>454</v>
      </c>
      <c r="C139" s="257">
        <f t="shared" ref="C139" si="22">+C140+C141+C142+C143</f>
        <v>67733205</v>
      </c>
      <c r="I139" s="98"/>
    </row>
    <row r="140" spans="1:9" x14ac:dyDescent="0.25">
      <c r="A140" s="193" t="s">
        <v>81</v>
      </c>
      <c r="B140" s="6" t="s">
        <v>304</v>
      </c>
      <c r="C140" s="99"/>
    </row>
    <row r="141" spans="1:9" ht="12.15" customHeight="1" x14ac:dyDescent="0.25">
      <c r="A141" s="193" t="s">
        <v>82</v>
      </c>
      <c r="B141" s="6" t="s">
        <v>305</v>
      </c>
      <c r="C141" s="99">
        <v>67733205</v>
      </c>
    </row>
    <row r="142" spans="1:9" s="213" customFormat="1" ht="12.15" customHeight="1" x14ac:dyDescent="0.25">
      <c r="A142" s="193" t="s">
        <v>218</v>
      </c>
      <c r="B142" s="6" t="s">
        <v>419</v>
      </c>
      <c r="C142" s="99"/>
    </row>
    <row r="143" spans="1:9" s="213" customFormat="1" ht="12.15" customHeight="1" thickBot="1" x14ac:dyDescent="0.3">
      <c r="A143" s="202" t="s">
        <v>219</v>
      </c>
      <c r="B143" s="4" t="s">
        <v>323</v>
      </c>
      <c r="C143" s="99"/>
    </row>
    <row r="144" spans="1:9" s="213" customFormat="1" ht="12.15" customHeight="1" thickBot="1" x14ac:dyDescent="0.3">
      <c r="A144" s="25" t="s">
        <v>22</v>
      </c>
      <c r="B144" s="54" t="s">
        <v>420</v>
      </c>
      <c r="C144" s="262">
        <f>+C145+C146+C147+C148+C149</f>
        <v>0</v>
      </c>
    </row>
    <row r="145" spans="1:4" s="213" customFormat="1" ht="12.15" customHeight="1" x14ac:dyDescent="0.25">
      <c r="A145" s="193" t="s">
        <v>83</v>
      </c>
      <c r="B145" s="6" t="s">
        <v>421</v>
      </c>
      <c r="C145" s="99"/>
    </row>
    <row r="146" spans="1:4" s="213" customFormat="1" ht="12.15" customHeight="1" x14ac:dyDescent="0.25">
      <c r="A146" s="193" t="s">
        <v>84</v>
      </c>
      <c r="B146" s="6" t="s">
        <v>422</v>
      </c>
      <c r="C146" s="99"/>
    </row>
    <row r="147" spans="1:4" s="213" customFormat="1" ht="12.15" customHeight="1" x14ac:dyDescent="0.25">
      <c r="A147" s="193" t="s">
        <v>230</v>
      </c>
      <c r="B147" s="6" t="s">
        <v>423</v>
      </c>
      <c r="C147" s="99"/>
    </row>
    <row r="148" spans="1:4" ht="12.75" customHeight="1" x14ac:dyDescent="0.25">
      <c r="A148" s="193" t="s">
        <v>231</v>
      </c>
      <c r="B148" s="6" t="s">
        <v>455</v>
      </c>
      <c r="C148" s="99"/>
    </row>
    <row r="149" spans="1:4" ht="12.75" customHeight="1" thickBot="1" x14ac:dyDescent="0.3">
      <c r="A149" s="202" t="s">
        <v>425</v>
      </c>
      <c r="B149" s="4" t="s">
        <v>426</v>
      </c>
      <c r="C149" s="100"/>
    </row>
    <row r="150" spans="1:4" ht="12.75" customHeight="1" thickBot="1" x14ac:dyDescent="0.3">
      <c r="A150" s="244" t="s">
        <v>23</v>
      </c>
      <c r="B150" s="54" t="s">
        <v>427</v>
      </c>
      <c r="C150" s="262"/>
    </row>
    <row r="151" spans="1:4" ht="12.15" customHeight="1" thickBot="1" x14ac:dyDescent="0.3">
      <c r="A151" s="244" t="s">
        <v>24</v>
      </c>
      <c r="B151" s="54" t="s">
        <v>428</v>
      </c>
      <c r="C151" s="262"/>
    </row>
    <row r="152" spans="1:4" ht="15" customHeight="1" thickBot="1" x14ac:dyDescent="0.3">
      <c r="A152" s="25" t="s">
        <v>25</v>
      </c>
      <c r="B152" s="54" t="s">
        <v>429</v>
      </c>
      <c r="C152" s="263">
        <f t="shared" ref="C152" si="23">+C128+C132+C139+C144+C150+C151</f>
        <v>1199167535</v>
      </c>
    </row>
    <row r="153" spans="1:4" ht="13.8" thickBot="1" x14ac:dyDescent="0.3">
      <c r="A153" s="204" t="s">
        <v>26</v>
      </c>
      <c r="B153" s="166" t="s">
        <v>430</v>
      </c>
      <c r="C153" s="263">
        <f t="shared" ref="C153" si="24">+C127+C152</f>
        <v>3582026264</v>
      </c>
      <c r="D153" s="31"/>
    </row>
    <row r="154" spans="1:4" ht="14.25" customHeight="1" thickBot="1" x14ac:dyDescent="0.3">
      <c r="A154" s="95" t="s">
        <v>456</v>
      </c>
      <c r="B154" s="96"/>
      <c r="C154" s="894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5"/>
  <sheetViews>
    <sheetView zoomScale="115" zoomScaleNormal="115" zoomScaleSheetLayoutView="85" workbookViewId="0">
      <selection activeCell="A2" sqref="A2"/>
    </sheetView>
  </sheetViews>
  <sheetFormatPr defaultColWidth="9.33203125" defaultRowHeight="13.2" x14ac:dyDescent="0.25"/>
  <cols>
    <col min="1" max="1" width="19.44140625" style="328" customWidth="1"/>
    <col min="2" max="2" width="72" style="329" customWidth="1"/>
    <col min="3" max="3" width="25" style="163" customWidth="1"/>
    <col min="4" max="4" width="13.33203125" style="301" customWidth="1"/>
    <col min="5" max="5" width="16.109375" style="301" customWidth="1"/>
    <col min="6" max="16384" width="9.33203125" style="301"/>
  </cols>
  <sheetData>
    <row r="1" spans="1:5" x14ac:dyDescent="0.25">
      <c r="A1" s="1334" t="str">
        <f>CONCATENATE("12. melléklet"," ",ALAPADATOK!A7," ",ALAPADATOK!B7," ",ALAPADATOK!C7," ",ALAPADATOK!D7," ",ALAPADATOK!E7," ",ALAPADATOK!F7," ",ALAPADATOK!G7," ",ALAPADATOK!H7)</f>
        <v>12. melléklet a …. / 2024. ( .... ) önkormányzati rendelethez</v>
      </c>
      <c r="B1" s="1334"/>
      <c r="C1" s="1334"/>
    </row>
    <row r="2" spans="1:5" s="1" customFormat="1" ht="16.5" customHeight="1" x14ac:dyDescent="0.25">
      <c r="A2" s="75"/>
      <c r="B2" s="76"/>
      <c r="C2" s="97"/>
    </row>
    <row r="3" spans="1:5" s="37" customFormat="1" ht="21.15" customHeight="1" thickBot="1" x14ac:dyDescent="0.3">
      <c r="A3" s="1290" t="s">
        <v>847</v>
      </c>
      <c r="B3" s="1290"/>
      <c r="C3" s="1290"/>
    </row>
    <row r="4" spans="1:5" ht="13.8" thickBot="1" x14ac:dyDescent="0.3">
      <c r="A4" s="172" t="s">
        <v>153</v>
      </c>
      <c r="B4" s="79" t="s">
        <v>50</v>
      </c>
      <c r="C4" s="154" t="s">
        <v>845</v>
      </c>
    </row>
    <row r="5" spans="1:5" s="32" customFormat="1" ht="12.9" customHeight="1" thickBot="1" x14ac:dyDescent="0.3">
      <c r="A5" s="71" t="s">
        <v>382</v>
      </c>
      <c r="B5" s="72" t="s">
        <v>383</v>
      </c>
      <c r="C5" s="73" t="s">
        <v>384</v>
      </c>
    </row>
    <row r="6" spans="1:5" s="32" customFormat="1" ht="15.9" customHeight="1" thickBot="1" x14ac:dyDescent="0.3">
      <c r="A6" s="81"/>
      <c r="B6" s="82" t="s">
        <v>52</v>
      </c>
      <c r="C6" s="155"/>
    </row>
    <row r="7" spans="1:5" s="32" customFormat="1" ht="12.15" customHeight="1" thickBot="1" x14ac:dyDescent="0.3">
      <c r="A7" s="25" t="s">
        <v>16</v>
      </c>
      <c r="B7" s="18" t="s">
        <v>179</v>
      </c>
      <c r="C7" s="255">
        <f t="shared" ref="C7" si="0">+C8+C9+C10+C13+C14+C15</f>
        <v>497232119</v>
      </c>
      <c r="D7" s="607"/>
      <c r="E7" s="602"/>
    </row>
    <row r="8" spans="1:5" s="38" customFormat="1" ht="12.15" customHeight="1" x14ac:dyDescent="0.2">
      <c r="A8" s="193" t="s">
        <v>85</v>
      </c>
      <c r="B8" s="180" t="s">
        <v>180</v>
      </c>
      <c r="C8" s="214"/>
      <c r="D8" s="607"/>
      <c r="E8" s="602"/>
    </row>
    <row r="9" spans="1:5" s="39" customFormat="1" ht="12.15" customHeight="1" x14ac:dyDescent="0.2">
      <c r="A9" s="194" t="s">
        <v>86</v>
      </c>
      <c r="B9" s="181" t="s">
        <v>181</v>
      </c>
      <c r="C9" s="114"/>
      <c r="D9" s="607"/>
      <c r="E9" s="602"/>
    </row>
    <row r="10" spans="1:5" s="39" customFormat="1" ht="12.15" customHeight="1" x14ac:dyDescent="0.2">
      <c r="A10" s="194" t="s">
        <v>87</v>
      </c>
      <c r="B10" s="181" t="s">
        <v>696</v>
      </c>
      <c r="C10" s="114">
        <f t="shared" ref="C10" si="1">SUM(C11:C12)</f>
        <v>497232119</v>
      </c>
      <c r="D10" s="607"/>
      <c r="E10" s="602"/>
    </row>
    <row r="11" spans="1:5" s="39" customFormat="1" ht="12.15" customHeight="1" x14ac:dyDescent="0.2">
      <c r="A11" s="194" t="s">
        <v>694</v>
      </c>
      <c r="B11" s="181" t="s">
        <v>697</v>
      </c>
      <c r="C11" s="114">
        <v>497232119</v>
      </c>
      <c r="D11" s="607"/>
      <c r="E11" s="602"/>
    </row>
    <row r="12" spans="1:5" s="39" customFormat="1" ht="12.15" customHeight="1" x14ac:dyDescent="0.2">
      <c r="A12" s="194" t="s">
        <v>695</v>
      </c>
      <c r="B12" s="181" t="s">
        <v>698</v>
      </c>
      <c r="C12" s="114"/>
      <c r="D12" s="607"/>
      <c r="E12" s="602"/>
    </row>
    <row r="13" spans="1:5" s="39" customFormat="1" ht="12.15" customHeight="1" x14ac:dyDescent="0.2">
      <c r="A13" s="194" t="s">
        <v>88</v>
      </c>
      <c r="B13" s="181" t="s">
        <v>183</v>
      </c>
      <c r="C13" s="114"/>
      <c r="D13" s="607"/>
      <c r="E13" s="602"/>
    </row>
    <row r="14" spans="1:5" s="39" customFormat="1" ht="12.15" customHeight="1" x14ac:dyDescent="0.2">
      <c r="A14" s="194" t="s">
        <v>111</v>
      </c>
      <c r="B14" s="181" t="s">
        <v>443</v>
      </c>
      <c r="C14" s="114"/>
      <c r="D14" s="607"/>
      <c r="E14" s="602"/>
    </row>
    <row r="15" spans="1:5" s="38" customFormat="1" ht="12.15" customHeight="1" thickBot="1" x14ac:dyDescent="0.25">
      <c r="A15" s="195" t="s">
        <v>89</v>
      </c>
      <c r="B15" s="182" t="s">
        <v>386</v>
      </c>
      <c r="C15" s="99"/>
      <c r="D15" s="607"/>
      <c r="E15" s="602"/>
    </row>
    <row r="16" spans="1:5" s="38" customFormat="1" ht="12.15" customHeight="1" thickBot="1" x14ac:dyDescent="0.3">
      <c r="A16" s="25" t="s">
        <v>17</v>
      </c>
      <c r="B16" s="105" t="s">
        <v>184</v>
      </c>
      <c r="C16" s="255">
        <f t="shared" ref="C16" si="2">+C17+C18+C19+C20+C21</f>
        <v>254622952</v>
      </c>
      <c r="D16" s="607"/>
      <c r="E16" s="602"/>
    </row>
    <row r="17" spans="1:5" s="38" customFormat="1" ht="12.15" customHeight="1" x14ac:dyDescent="0.2">
      <c r="A17" s="193" t="s">
        <v>91</v>
      </c>
      <c r="B17" s="180" t="s">
        <v>185</v>
      </c>
      <c r="C17" s="256"/>
      <c r="D17" s="607"/>
      <c r="E17" s="602"/>
    </row>
    <row r="18" spans="1:5" s="38" customFormat="1" ht="12.15" customHeight="1" x14ac:dyDescent="0.2">
      <c r="A18" s="194" t="s">
        <v>92</v>
      </c>
      <c r="B18" s="181" t="s">
        <v>186</v>
      </c>
      <c r="C18" s="99"/>
      <c r="D18" s="607"/>
      <c r="E18" s="602"/>
    </row>
    <row r="19" spans="1:5" s="38" customFormat="1" ht="12.15" customHeight="1" x14ac:dyDescent="0.2">
      <c r="A19" s="194" t="s">
        <v>93</v>
      </c>
      <c r="B19" s="181" t="s">
        <v>352</v>
      </c>
      <c r="C19" s="99"/>
      <c r="D19" s="607"/>
      <c r="E19" s="602"/>
    </row>
    <row r="20" spans="1:5" s="38" customFormat="1" ht="12.15" customHeight="1" x14ac:dyDescent="0.2">
      <c r="A20" s="194" t="s">
        <v>94</v>
      </c>
      <c r="B20" s="181" t="s">
        <v>353</v>
      </c>
      <c r="C20" s="99"/>
      <c r="D20" s="607"/>
      <c r="E20" s="602"/>
    </row>
    <row r="21" spans="1:5" s="38" customFormat="1" ht="12.15" customHeight="1" x14ac:dyDescent="0.2">
      <c r="A21" s="194" t="s">
        <v>95</v>
      </c>
      <c r="B21" s="181" t="s">
        <v>187</v>
      </c>
      <c r="C21" s="1258">
        <f>232125892+22497060</f>
        <v>254622952</v>
      </c>
      <c r="D21" s="607"/>
      <c r="E21" s="602"/>
    </row>
    <row r="22" spans="1:5" s="39" customFormat="1" ht="12.15" customHeight="1" thickBot="1" x14ac:dyDescent="0.25">
      <c r="A22" s="195" t="s">
        <v>104</v>
      </c>
      <c r="B22" s="182" t="s">
        <v>188</v>
      </c>
      <c r="C22" s="249"/>
      <c r="D22" s="607"/>
      <c r="E22" s="602"/>
    </row>
    <row r="23" spans="1:5" s="39" customFormat="1" ht="12.15" customHeight="1" thickBot="1" x14ac:dyDescent="0.3">
      <c r="A23" s="25" t="s">
        <v>18</v>
      </c>
      <c r="B23" s="18" t="s">
        <v>189</v>
      </c>
      <c r="C23" s="255">
        <f t="shared" ref="C23" si="3">+C24+C25+C26+C27+C28</f>
        <v>0</v>
      </c>
      <c r="D23" s="607"/>
      <c r="E23" s="602"/>
    </row>
    <row r="24" spans="1:5" s="39" customFormat="1" ht="12.15" customHeight="1" x14ac:dyDescent="0.2">
      <c r="A24" s="193" t="s">
        <v>74</v>
      </c>
      <c r="B24" s="180" t="s">
        <v>190</v>
      </c>
      <c r="C24" s="639"/>
      <c r="D24" s="607"/>
      <c r="E24" s="602"/>
    </row>
    <row r="25" spans="1:5" s="38" customFormat="1" ht="12.15" customHeight="1" x14ac:dyDescent="0.2">
      <c r="A25" s="194" t="s">
        <v>75</v>
      </c>
      <c r="B25" s="181" t="s">
        <v>191</v>
      </c>
      <c r="C25" s="246"/>
      <c r="D25" s="607"/>
      <c r="E25" s="602"/>
    </row>
    <row r="26" spans="1:5" s="39" customFormat="1" ht="12.15" customHeight="1" x14ac:dyDescent="0.2">
      <c r="A26" s="194" t="s">
        <v>76</v>
      </c>
      <c r="B26" s="181" t="s">
        <v>354</v>
      </c>
      <c r="C26" s="246"/>
      <c r="D26" s="607"/>
      <c r="E26" s="602"/>
    </row>
    <row r="27" spans="1:5" s="39" customFormat="1" ht="12.15" customHeight="1" x14ac:dyDescent="0.2">
      <c r="A27" s="194" t="s">
        <v>77</v>
      </c>
      <c r="B27" s="181" t="s">
        <v>355</v>
      </c>
      <c r="C27" s="246"/>
      <c r="D27" s="607"/>
      <c r="E27" s="602"/>
    </row>
    <row r="28" spans="1:5" s="39" customFormat="1" ht="12.15" customHeight="1" x14ac:dyDescent="0.2">
      <c r="A28" s="194" t="s">
        <v>122</v>
      </c>
      <c r="B28" s="181" t="s">
        <v>192</v>
      </c>
      <c r="C28" s="246"/>
      <c r="D28" s="607"/>
      <c r="E28" s="602"/>
    </row>
    <row r="29" spans="1:5" s="39" customFormat="1" ht="12.15" customHeight="1" thickBot="1" x14ac:dyDescent="0.25">
      <c r="A29" s="195" t="s">
        <v>123</v>
      </c>
      <c r="B29" s="182" t="s">
        <v>193</v>
      </c>
      <c r="C29" s="249"/>
      <c r="D29" s="607"/>
      <c r="E29" s="602"/>
    </row>
    <row r="30" spans="1:5" s="39" customFormat="1" ht="12.15" customHeight="1" thickBot="1" x14ac:dyDescent="0.3">
      <c r="A30" s="25" t="s">
        <v>124</v>
      </c>
      <c r="B30" s="18" t="s">
        <v>194</v>
      </c>
      <c r="C30" s="257">
        <f t="shared" ref="C30" si="4">+C31++C35+C36</f>
        <v>0</v>
      </c>
      <c r="D30" s="607"/>
      <c r="E30" s="602"/>
    </row>
    <row r="31" spans="1:5" s="39" customFormat="1" ht="12.15" customHeight="1" x14ac:dyDescent="0.2">
      <c r="A31" s="193" t="s">
        <v>195</v>
      </c>
      <c r="B31" s="180" t="s">
        <v>553</v>
      </c>
      <c r="C31" s="269">
        <f t="shared" ref="C31" si="5">SUM(C32:C33)</f>
        <v>0</v>
      </c>
      <c r="D31" s="607"/>
      <c r="E31" s="602"/>
    </row>
    <row r="32" spans="1:5" s="39" customFormat="1" ht="12.15" customHeight="1" x14ac:dyDescent="0.2">
      <c r="A32" s="194" t="s">
        <v>196</v>
      </c>
      <c r="B32" s="181" t="s">
        <v>201</v>
      </c>
      <c r="C32" s="99"/>
      <c r="D32" s="607"/>
      <c r="E32" s="602"/>
    </row>
    <row r="33" spans="1:5" s="39" customFormat="1" ht="12.15" customHeight="1" x14ac:dyDescent="0.2">
      <c r="A33" s="194" t="s">
        <v>197</v>
      </c>
      <c r="B33" s="232" t="s">
        <v>552</v>
      </c>
      <c r="C33" s="99"/>
      <c r="D33" s="607"/>
      <c r="E33" s="602"/>
    </row>
    <row r="34" spans="1:5" s="39" customFormat="1" ht="12.15" customHeight="1" x14ac:dyDescent="0.2">
      <c r="A34" s="194" t="s">
        <v>198</v>
      </c>
      <c r="B34" s="181" t="s">
        <v>469</v>
      </c>
      <c r="C34" s="246"/>
      <c r="D34" s="607"/>
      <c r="E34" s="602"/>
    </row>
    <row r="35" spans="1:5" s="39" customFormat="1" ht="12.15" customHeight="1" x14ac:dyDescent="0.2">
      <c r="A35" s="194" t="s">
        <v>199</v>
      </c>
      <c r="B35" s="181" t="s">
        <v>203</v>
      </c>
      <c r="C35" s="99"/>
      <c r="D35" s="607"/>
      <c r="E35" s="602"/>
    </row>
    <row r="36" spans="1:5" s="39" customFormat="1" ht="12.15" customHeight="1" thickBot="1" x14ac:dyDescent="0.25">
      <c r="A36" s="195" t="s">
        <v>200</v>
      </c>
      <c r="B36" s="182" t="s">
        <v>204</v>
      </c>
      <c r="C36" s="249"/>
      <c r="D36" s="607"/>
      <c r="E36" s="602"/>
    </row>
    <row r="37" spans="1:5" s="39" customFormat="1" ht="12.15" customHeight="1" thickBot="1" x14ac:dyDescent="0.3">
      <c r="A37" s="25" t="s">
        <v>20</v>
      </c>
      <c r="B37" s="18" t="s">
        <v>387</v>
      </c>
      <c r="C37" s="255">
        <f t="shared" ref="C37" si="6">SUM(C38:C48)</f>
        <v>4347000</v>
      </c>
      <c r="D37" s="607"/>
      <c r="E37" s="602"/>
    </row>
    <row r="38" spans="1:5" s="39" customFormat="1" ht="12.15" customHeight="1" x14ac:dyDescent="0.2">
      <c r="A38" s="193" t="s">
        <v>78</v>
      </c>
      <c r="B38" s="180" t="s">
        <v>207</v>
      </c>
      <c r="C38" s="639"/>
      <c r="D38" s="607"/>
      <c r="E38" s="602"/>
    </row>
    <row r="39" spans="1:5" s="39" customFormat="1" ht="12.15" customHeight="1" x14ac:dyDescent="0.2">
      <c r="A39" s="194" t="s">
        <v>79</v>
      </c>
      <c r="B39" s="181" t="s">
        <v>208</v>
      </c>
      <c r="C39" s="246">
        <v>1900000</v>
      </c>
      <c r="D39" s="607"/>
      <c r="E39" s="602"/>
    </row>
    <row r="40" spans="1:5" s="39" customFormat="1" ht="12.15" customHeight="1" x14ac:dyDescent="0.2">
      <c r="A40" s="194" t="s">
        <v>80</v>
      </c>
      <c r="B40" s="181" t="s">
        <v>209</v>
      </c>
      <c r="C40" s="246">
        <v>787402</v>
      </c>
      <c r="D40" s="607"/>
      <c r="E40" s="602"/>
    </row>
    <row r="41" spans="1:5" s="39" customFormat="1" ht="12.15" customHeight="1" x14ac:dyDescent="0.2">
      <c r="A41" s="194" t="s">
        <v>126</v>
      </c>
      <c r="B41" s="181" t="s">
        <v>210</v>
      </c>
      <c r="C41" s="246"/>
      <c r="D41" s="607"/>
      <c r="E41" s="602"/>
    </row>
    <row r="42" spans="1:5" s="39" customFormat="1" ht="12.15" customHeight="1" x14ac:dyDescent="0.2">
      <c r="A42" s="194" t="s">
        <v>127</v>
      </c>
      <c r="B42" s="181" t="s">
        <v>211</v>
      </c>
      <c r="C42" s="246"/>
      <c r="D42" s="607"/>
      <c r="E42" s="602"/>
    </row>
    <row r="43" spans="1:5" s="39" customFormat="1" ht="12.15" customHeight="1" x14ac:dyDescent="0.2">
      <c r="A43" s="194" t="s">
        <v>128</v>
      </c>
      <c r="B43" s="181" t="s">
        <v>212</v>
      </c>
      <c r="C43" s="246">
        <v>725598</v>
      </c>
      <c r="D43" s="607"/>
      <c r="E43" s="602"/>
    </row>
    <row r="44" spans="1:5" s="39" customFormat="1" ht="12.15" customHeight="1" x14ac:dyDescent="0.2">
      <c r="A44" s="194" t="s">
        <v>129</v>
      </c>
      <c r="B44" s="181" t="s">
        <v>213</v>
      </c>
      <c r="C44" s="246">
        <v>834000</v>
      </c>
      <c r="D44" s="607"/>
      <c r="E44" s="602"/>
    </row>
    <row r="45" spans="1:5" s="39" customFormat="1" ht="12.15" customHeight="1" x14ac:dyDescent="0.2">
      <c r="A45" s="194" t="s">
        <v>130</v>
      </c>
      <c r="B45" s="181" t="s">
        <v>214</v>
      </c>
      <c r="C45" s="246"/>
      <c r="D45" s="607"/>
      <c r="E45" s="602"/>
    </row>
    <row r="46" spans="1:5" s="39" customFormat="1" ht="12.15" customHeight="1" x14ac:dyDescent="0.2">
      <c r="A46" s="194" t="s">
        <v>205</v>
      </c>
      <c r="B46" s="181" t="s">
        <v>215</v>
      </c>
      <c r="C46" s="246"/>
      <c r="D46" s="607"/>
      <c r="E46" s="602"/>
    </row>
    <row r="47" spans="1:5" s="39" customFormat="1" ht="12.15" customHeight="1" x14ac:dyDescent="0.2">
      <c r="A47" s="195" t="s">
        <v>206</v>
      </c>
      <c r="B47" s="182" t="s">
        <v>388</v>
      </c>
      <c r="C47" s="249"/>
      <c r="D47" s="607"/>
      <c r="E47" s="602"/>
    </row>
    <row r="48" spans="1:5" s="39" customFormat="1" ht="12.15" customHeight="1" thickBot="1" x14ac:dyDescent="0.25">
      <c r="A48" s="195" t="s">
        <v>389</v>
      </c>
      <c r="B48" s="182" t="s">
        <v>216</v>
      </c>
      <c r="C48" s="249">
        <v>100000</v>
      </c>
      <c r="D48" s="607"/>
      <c r="E48" s="602"/>
    </row>
    <row r="49" spans="1:5" s="39" customFormat="1" ht="12.15" customHeight="1" thickBot="1" x14ac:dyDescent="0.3">
      <c r="A49" s="25" t="s">
        <v>21</v>
      </c>
      <c r="B49" s="18" t="s">
        <v>217</v>
      </c>
      <c r="C49" s="255">
        <f t="shared" ref="C49" si="7">SUM(C50:C54)</f>
        <v>0</v>
      </c>
      <c r="D49" s="607"/>
      <c r="E49" s="602"/>
    </row>
    <row r="50" spans="1:5" s="39" customFormat="1" ht="12.15" customHeight="1" x14ac:dyDescent="0.2">
      <c r="A50" s="193" t="s">
        <v>81</v>
      </c>
      <c r="B50" s="180" t="s">
        <v>221</v>
      </c>
      <c r="C50" s="639"/>
      <c r="D50" s="607"/>
      <c r="E50" s="602"/>
    </row>
    <row r="51" spans="1:5" s="39" customFormat="1" ht="12.15" customHeight="1" x14ac:dyDescent="0.2">
      <c r="A51" s="194" t="s">
        <v>82</v>
      </c>
      <c r="B51" s="181" t="s">
        <v>222</v>
      </c>
      <c r="C51" s="246"/>
      <c r="D51" s="607"/>
      <c r="E51" s="602"/>
    </row>
    <row r="52" spans="1:5" s="39" customFormat="1" ht="12.15" customHeight="1" x14ac:dyDescent="0.2">
      <c r="A52" s="194" t="s">
        <v>218</v>
      </c>
      <c r="B52" s="181" t="s">
        <v>223</v>
      </c>
      <c r="C52" s="246"/>
      <c r="D52" s="607"/>
      <c r="E52" s="602"/>
    </row>
    <row r="53" spans="1:5" s="39" customFormat="1" ht="12.15" customHeight="1" x14ac:dyDescent="0.2">
      <c r="A53" s="194" t="s">
        <v>219</v>
      </c>
      <c r="B53" s="181" t="s">
        <v>224</v>
      </c>
      <c r="C53" s="246"/>
      <c r="D53" s="607"/>
      <c r="E53" s="602"/>
    </row>
    <row r="54" spans="1:5" s="39" customFormat="1" ht="12.15" customHeight="1" thickBot="1" x14ac:dyDescent="0.25">
      <c r="A54" s="195" t="s">
        <v>220</v>
      </c>
      <c r="B54" s="182" t="s">
        <v>225</v>
      </c>
      <c r="C54" s="249"/>
      <c r="D54" s="607"/>
      <c r="E54" s="602"/>
    </row>
    <row r="55" spans="1:5" s="39" customFormat="1" ht="12.15" customHeight="1" thickBot="1" x14ac:dyDescent="0.3">
      <c r="A55" s="25" t="s">
        <v>131</v>
      </c>
      <c r="B55" s="18" t="s">
        <v>226</v>
      </c>
      <c r="C55" s="255">
        <f t="shared" ref="C55" si="8">SUM(C56:C58)</f>
        <v>1295000</v>
      </c>
      <c r="D55" s="607"/>
      <c r="E55" s="602"/>
    </row>
    <row r="56" spans="1:5" s="39" customFormat="1" ht="12.15" customHeight="1" x14ac:dyDescent="0.2">
      <c r="A56" s="193" t="s">
        <v>83</v>
      </c>
      <c r="B56" s="180" t="s">
        <v>227</v>
      </c>
      <c r="C56" s="256"/>
      <c r="D56" s="607"/>
      <c r="E56" s="602"/>
    </row>
    <row r="57" spans="1:5" s="39" customFormat="1" ht="12.15" customHeight="1" x14ac:dyDescent="0.2">
      <c r="A57" s="194" t="s">
        <v>84</v>
      </c>
      <c r="B57" s="181" t="s">
        <v>356</v>
      </c>
      <c r="C57" s="246">
        <v>200000</v>
      </c>
      <c r="D57" s="607"/>
      <c r="E57" s="602"/>
    </row>
    <row r="58" spans="1:5" s="39" customFormat="1" ht="12.15" customHeight="1" x14ac:dyDescent="0.2">
      <c r="A58" s="194" t="s">
        <v>230</v>
      </c>
      <c r="B58" s="181" t="s">
        <v>228</v>
      </c>
      <c r="C58" s="246">
        <v>1095000</v>
      </c>
      <c r="D58" s="607"/>
      <c r="E58" s="602"/>
    </row>
    <row r="59" spans="1:5" s="39" customFormat="1" ht="12.15" customHeight="1" thickBot="1" x14ac:dyDescent="0.25">
      <c r="A59" s="195" t="s">
        <v>231</v>
      </c>
      <c r="B59" s="182" t="s">
        <v>229</v>
      </c>
      <c r="C59" s="100"/>
      <c r="D59" s="607"/>
      <c r="E59" s="602"/>
    </row>
    <row r="60" spans="1:5" s="39" customFormat="1" ht="12.15" customHeight="1" thickBot="1" x14ac:dyDescent="0.3">
      <c r="A60" s="25" t="s">
        <v>23</v>
      </c>
      <c r="B60" s="105" t="s">
        <v>232</v>
      </c>
      <c r="C60" s="255">
        <f t="shared" ref="C60" si="9">SUM(C61:C63)</f>
        <v>0</v>
      </c>
      <c r="D60" s="607"/>
      <c r="E60" s="602"/>
    </row>
    <row r="61" spans="1:5" s="39" customFormat="1" ht="12.15" customHeight="1" x14ac:dyDescent="0.2">
      <c r="A61" s="193" t="s">
        <v>132</v>
      </c>
      <c r="B61" s="180" t="s">
        <v>234</v>
      </c>
      <c r="C61" s="246"/>
      <c r="D61" s="607"/>
      <c r="E61" s="602"/>
    </row>
    <row r="62" spans="1:5" s="39" customFormat="1" ht="12.15" customHeight="1" x14ac:dyDescent="0.2">
      <c r="A62" s="194" t="s">
        <v>133</v>
      </c>
      <c r="B62" s="181" t="s">
        <v>357</v>
      </c>
      <c r="C62" s="246"/>
      <c r="D62" s="607"/>
      <c r="E62" s="602"/>
    </row>
    <row r="63" spans="1:5" s="39" customFormat="1" ht="12.15" customHeight="1" x14ac:dyDescent="0.2">
      <c r="A63" s="194" t="s">
        <v>158</v>
      </c>
      <c r="B63" s="181" t="s">
        <v>235</v>
      </c>
      <c r="C63" s="246"/>
      <c r="D63" s="607"/>
      <c r="E63" s="602"/>
    </row>
    <row r="64" spans="1:5" s="39" customFormat="1" ht="12.15" customHeight="1" thickBot="1" x14ac:dyDescent="0.25">
      <c r="A64" s="195" t="s">
        <v>233</v>
      </c>
      <c r="B64" s="182" t="s">
        <v>236</v>
      </c>
      <c r="C64" s="246"/>
      <c r="D64" s="607"/>
      <c r="E64" s="602"/>
    </row>
    <row r="65" spans="1:5" s="39" customFormat="1" ht="12.15" customHeight="1" thickBot="1" x14ac:dyDescent="0.3">
      <c r="A65" s="25" t="s">
        <v>24</v>
      </c>
      <c r="B65" s="18" t="s">
        <v>237</v>
      </c>
      <c r="C65" s="257">
        <f t="shared" ref="C65" si="10">+C7+C16+C23+C30+C37+C49+C55+C60</f>
        <v>757497071</v>
      </c>
      <c r="D65" s="607"/>
      <c r="E65" s="602"/>
    </row>
    <row r="66" spans="1:5" s="39" customFormat="1" ht="12.15" customHeight="1" thickBot="1" x14ac:dyDescent="0.25">
      <c r="A66" s="196" t="s">
        <v>327</v>
      </c>
      <c r="B66" s="105" t="s">
        <v>239</v>
      </c>
      <c r="C66" s="255">
        <f t="shared" ref="C66" si="11">SUM(C67:C69)</f>
        <v>0</v>
      </c>
      <c r="D66" s="607"/>
      <c r="E66" s="602"/>
    </row>
    <row r="67" spans="1:5" s="39" customFormat="1" ht="12.15" customHeight="1" x14ac:dyDescent="0.2">
      <c r="A67" s="193" t="s">
        <v>270</v>
      </c>
      <c r="B67" s="180" t="s">
        <v>240</v>
      </c>
      <c r="C67" s="246"/>
      <c r="D67" s="607"/>
      <c r="E67" s="602"/>
    </row>
    <row r="68" spans="1:5" s="39" customFormat="1" ht="12.15" customHeight="1" x14ac:dyDescent="0.2">
      <c r="A68" s="194" t="s">
        <v>279</v>
      </c>
      <c r="B68" s="181" t="s">
        <v>241</v>
      </c>
      <c r="C68" s="246"/>
      <c r="D68" s="607"/>
      <c r="E68" s="602"/>
    </row>
    <row r="69" spans="1:5" s="39" customFormat="1" ht="12.15" customHeight="1" thickBot="1" x14ac:dyDescent="0.25">
      <c r="A69" s="195" t="s">
        <v>280</v>
      </c>
      <c r="B69" s="183" t="s">
        <v>242</v>
      </c>
      <c r="C69" s="246"/>
      <c r="D69" s="607"/>
      <c r="E69" s="602"/>
    </row>
    <row r="70" spans="1:5" s="39" customFormat="1" ht="12.15" customHeight="1" thickBot="1" x14ac:dyDescent="0.25">
      <c r="A70" s="196" t="s">
        <v>243</v>
      </c>
      <c r="B70" s="105" t="s">
        <v>244</v>
      </c>
      <c r="C70" s="255">
        <f t="shared" ref="C70" si="12">SUM(C71:C74)</f>
        <v>0</v>
      </c>
      <c r="D70" s="607"/>
      <c r="E70" s="602"/>
    </row>
    <row r="71" spans="1:5" s="39" customFormat="1" ht="12.15" customHeight="1" x14ac:dyDescent="0.2">
      <c r="A71" s="193" t="s">
        <v>112</v>
      </c>
      <c r="B71" s="180" t="s">
        <v>245</v>
      </c>
      <c r="C71" s="246"/>
      <c r="D71" s="607"/>
      <c r="E71" s="602"/>
    </row>
    <row r="72" spans="1:5" s="39" customFormat="1" ht="12.15" customHeight="1" x14ac:dyDescent="0.2">
      <c r="A72" s="194" t="s">
        <v>113</v>
      </c>
      <c r="B72" s="181" t="s">
        <v>246</v>
      </c>
      <c r="C72" s="246"/>
      <c r="D72" s="607"/>
      <c r="E72" s="602"/>
    </row>
    <row r="73" spans="1:5" s="39" customFormat="1" ht="12.15" customHeight="1" x14ac:dyDescent="0.2">
      <c r="A73" s="194" t="s">
        <v>271</v>
      </c>
      <c r="B73" s="181" t="s">
        <v>247</v>
      </c>
      <c r="C73" s="246"/>
      <c r="D73" s="607"/>
      <c r="E73" s="602"/>
    </row>
    <row r="74" spans="1:5" s="39" customFormat="1" ht="12.15" customHeight="1" thickBot="1" x14ac:dyDescent="0.25">
      <c r="A74" s="195" t="s">
        <v>272</v>
      </c>
      <c r="B74" s="182" t="s">
        <v>248</v>
      </c>
      <c r="C74" s="246"/>
      <c r="D74" s="607"/>
      <c r="E74" s="602"/>
    </row>
    <row r="75" spans="1:5" s="39" customFormat="1" ht="12.15" customHeight="1" thickBot="1" x14ac:dyDescent="0.25">
      <c r="A75" s="196" t="s">
        <v>249</v>
      </c>
      <c r="B75" s="105" t="s">
        <v>250</v>
      </c>
      <c r="C75" s="255">
        <f t="shared" ref="C75" si="13">SUM(C76:C77)</f>
        <v>0</v>
      </c>
      <c r="D75" s="607"/>
      <c r="E75" s="602"/>
    </row>
    <row r="76" spans="1:5" s="39" customFormat="1" ht="12.15" customHeight="1" x14ac:dyDescent="0.2">
      <c r="A76" s="193" t="s">
        <v>273</v>
      </c>
      <c r="B76" s="180" t="s">
        <v>251</v>
      </c>
      <c r="C76" s="246"/>
      <c r="D76" s="607"/>
      <c r="E76" s="602"/>
    </row>
    <row r="77" spans="1:5" s="39" customFormat="1" ht="12.15" customHeight="1" thickBot="1" x14ac:dyDescent="0.25">
      <c r="A77" s="195" t="s">
        <v>274</v>
      </c>
      <c r="B77" s="182" t="s">
        <v>252</v>
      </c>
      <c r="C77" s="246"/>
      <c r="D77" s="607"/>
      <c r="E77" s="602"/>
    </row>
    <row r="78" spans="1:5" s="38" customFormat="1" ht="12.15" customHeight="1" thickBot="1" x14ac:dyDescent="0.25">
      <c r="A78" s="196" t="s">
        <v>253</v>
      </c>
      <c r="B78" s="105" t="s">
        <v>254</v>
      </c>
      <c r="C78" s="255">
        <f t="shared" ref="C78" si="14">SUM(C79:C81)</f>
        <v>0</v>
      </c>
      <c r="D78" s="607"/>
      <c r="E78" s="602"/>
    </row>
    <row r="79" spans="1:5" s="39" customFormat="1" ht="12.15" customHeight="1" x14ac:dyDescent="0.2">
      <c r="A79" s="193" t="s">
        <v>275</v>
      </c>
      <c r="B79" s="180" t="s">
        <v>255</v>
      </c>
      <c r="C79" s="246"/>
      <c r="D79" s="607"/>
      <c r="E79" s="602"/>
    </row>
    <row r="80" spans="1:5" s="39" customFormat="1" ht="12.15" customHeight="1" x14ac:dyDescent="0.2">
      <c r="A80" s="194" t="s">
        <v>276</v>
      </c>
      <c r="B80" s="181" t="s">
        <v>256</v>
      </c>
      <c r="C80" s="246"/>
      <c r="D80" s="607"/>
      <c r="E80" s="602"/>
    </row>
    <row r="81" spans="1:5" s="39" customFormat="1" ht="12.15" customHeight="1" thickBot="1" x14ac:dyDescent="0.25">
      <c r="A81" s="195" t="s">
        <v>277</v>
      </c>
      <c r="B81" s="182" t="s">
        <v>257</v>
      </c>
      <c r="C81" s="246"/>
      <c r="D81" s="607"/>
      <c r="E81" s="602"/>
    </row>
    <row r="82" spans="1:5" s="39" customFormat="1" ht="12.15" customHeight="1" thickBot="1" x14ac:dyDescent="0.25">
      <c r="A82" s="196" t="s">
        <v>258</v>
      </c>
      <c r="B82" s="105" t="s">
        <v>278</v>
      </c>
      <c r="C82" s="255">
        <f t="shared" ref="C82" si="15">SUM(C83:C86)</f>
        <v>0</v>
      </c>
      <c r="D82" s="607"/>
      <c r="E82" s="602"/>
    </row>
    <row r="83" spans="1:5" s="39" customFormat="1" ht="12.15" customHeight="1" x14ac:dyDescent="0.2">
      <c r="A83" s="197" t="s">
        <v>259</v>
      </c>
      <c r="B83" s="180" t="s">
        <v>260</v>
      </c>
      <c r="C83" s="246"/>
      <c r="D83" s="607"/>
      <c r="E83" s="602"/>
    </row>
    <row r="84" spans="1:5" s="39" customFormat="1" ht="12.15" customHeight="1" x14ac:dyDescent="0.2">
      <c r="A84" s="198" t="s">
        <v>261</v>
      </c>
      <c r="B84" s="181" t="s">
        <v>262</v>
      </c>
      <c r="C84" s="246"/>
      <c r="D84" s="607"/>
      <c r="E84" s="602"/>
    </row>
    <row r="85" spans="1:5" s="39" customFormat="1" ht="12.15" customHeight="1" x14ac:dyDescent="0.2">
      <c r="A85" s="198" t="s">
        <v>263</v>
      </c>
      <c r="B85" s="181" t="s">
        <v>264</v>
      </c>
      <c r="C85" s="246"/>
      <c r="D85" s="607"/>
      <c r="E85" s="602"/>
    </row>
    <row r="86" spans="1:5" s="38" customFormat="1" ht="12.15" customHeight="1" thickBot="1" x14ac:dyDescent="0.25">
      <c r="A86" s="199" t="s">
        <v>265</v>
      </c>
      <c r="B86" s="182" t="s">
        <v>266</v>
      </c>
      <c r="C86" s="246"/>
      <c r="D86" s="607"/>
      <c r="E86" s="602"/>
    </row>
    <row r="87" spans="1:5" s="38" customFormat="1" ht="12.15" customHeight="1" thickBot="1" x14ac:dyDescent="0.25">
      <c r="A87" s="196" t="s">
        <v>267</v>
      </c>
      <c r="B87" s="105" t="s">
        <v>392</v>
      </c>
      <c r="C87" s="258"/>
      <c r="D87" s="607"/>
      <c r="E87" s="602"/>
    </row>
    <row r="88" spans="1:5" s="38" customFormat="1" ht="12.15" customHeight="1" thickBot="1" x14ac:dyDescent="0.25">
      <c r="A88" s="196" t="s">
        <v>444</v>
      </c>
      <c r="B88" s="105" t="s">
        <v>268</v>
      </c>
      <c r="C88" s="258"/>
      <c r="D88" s="607"/>
      <c r="E88" s="602"/>
    </row>
    <row r="89" spans="1:5" s="38" customFormat="1" ht="12.15" customHeight="1" thickBot="1" x14ac:dyDescent="0.25">
      <c r="A89" s="196" t="s">
        <v>445</v>
      </c>
      <c r="B89" s="187" t="s">
        <v>393</v>
      </c>
      <c r="C89" s="257">
        <f t="shared" ref="C89" si="16">+C66+C70+C75+C78+C82+C88+C87</f>
        <v>0</v>
      </c>
      <c r="D89" s="607"/>
      <c r="E89" s="602"/>
    </row>
    <row r="90" spans="1:5" s="38" customFormat="1" ht="12.15" customHeight="1" thickBot="1" x14ac:dyDescent="0.25">
      <c r="A90" s="200" t="s">
        <v>446</v>
      </c>
      <c r="B90" s="188" t="s">
        <v>447</v>
      </c>
      <c r="C90" s="257">
        <f t="shared" ref="C90" si="17">+C65+C89</f>
        <v>757497071</v>
      </c>
      <c r="D90" s="607"/>
      <c r="E90" s="602"/>
    </row>
    <row r="91" spans="1:5" s="32" customFormat="1" ht="16.5" customHeight="1" thickBot="1" x14ac:dyDescent="0.3">
      <c r="A91" s="1335" t="s">
        <v>53</v>
      </c>
      <c r="B91" s="1336"/>
      <c r="C91" s="1337"/>
      <c r="E91" s="602"/>
    </row>
    <row r="92" spans="1:5" s="213" customFormat="1" ht="12.15" customHeight="1" thickBot="1" x14ac:dyDescent="0.3">
      <c r="A92" s="173" t="s">
        <v>16</v>
      </c>
      <c r="B92" s="369" t="s">
        <v>457</v>
      </c>
      <c r="C92" s="261">
        <f>+C93+C94+C95+C96+C97+C110</f>
        <v>93670673</v>
      </c>
      <c r="E92" s="602"/>
    </row>
    <row r="93" spans="1:5" ht="12.15" customHeight="1" x14ac:dyDescent="0.25">
      <c r="A93" s="201" t="s">
        <v>85</v>
      </c>
      <c r="B93" s="370" t="s">
        <v>46</v>
      </c>
      <c r="C93" s="1260">
        <f>11795017+31496</f>
        <v>11826513</v>
      </c>
      <c r="D93" s="213"/>
      <c r="E93" s="602"/>
    </row>
    <row r="94" spans="1:5" ht="12.15" customHeight="1" x14ac:dyDescent="0.25">
      <c r="A94" s="194" t="s">
        <v>86</v>
      </c>
      <c r="B94" s="371" t="s">
        <v>134</v>
      </c>
      <c r="C94" s="246">
        <v>2752025</v>
      </c>
      <c r="D94" s="213"/>
      <c r="E94" s="602"/>
    </row>
    <row r="95" spans="1:5" ht="12.15" customHeight="1" x14ac:dyDescent="0.25">
      <c r="A95" s="194" t="s">
        <v>87</v>
      </c>
      <c r="B95" s="371" t="s">
        <v>110</v>
      </c>
      <c r="C95" s="1084">
        <f>49687828+268504</f>
        <v>49956332</v>
      </c>
      <c r="D95" s="213"/>
      <c r="E95" s="602"/>
    </row>
    <row r="96" spans="1:5" ht="12.15" customHeight="1" x14ac:dyDescent="0.25">
      <c r="A96" s="194" t="s">
        <v>88</v>
      </c>
      <c r="B96" s="374" t="s">
        <v>135</v>
      </c>
      <c r="C96" s="249"/>
      <c r="D96" s="213"/>
      <c r="E96" s="602"/>
    </row>
    <row r="97" spans="1:5" ht="12.15" customHeight="1" x14ac:dyDescent="0.25">
      <c r="A97" s="194" t="s">
        <v>99</v>
      </c>
      <c r="B97" s="16" t="s">
        <v>136</v>
      </c>
      <c r="C97" s="249">
        <f>SUM(C98:C109)</f>
        <v>29135803</v>
      </c>
      <c r="D97" s="213"/>
      <c r="E97" s="602"/>
    </row>
    <row r="98" spans="1:5" ht="12.15" customHeight="1" x14ac:dyDescent="0.25">
      <c r="A98" s="194" t="s">
        <v>89</v>
      </c>
      <c r="B98" s="371" t="s">
        <v>448</v>
      </c>
      <c r="C98" s="249"/>
      <c r="D98" s="213"/>
      <c r="E98" s="602"/>
    </row>
    <row r="99" spans="1:5" ht="12.15" customHeight="1" x14ac:dyDescent="0.2">
      <c r="A99" s="194" t="s">
        <v>90</v>
      </c>
      <c r="B99" s="382" t="s">
        <v>397</v>
      </c>
      <c r="C99" s="249"/>
      <c r="D99" s="213"/>
      <c r="E99" s="602"/>
    </row>
    <row r="100" spans="1:5" ht="12.15" customHeight="1" x14ac:dyDescent="0.2">
      <c r="A100" s="194" t="s">
        <v>100</v>
      </c>
      <c r="B100" s="382" t="s">
        <v>398</v>
      </c>
      <c r="C100" s="249"/>
      <c r="D100" s="213"/>
      <c r="E100" s="602"/>
    </row>
    <row r="101" spans="1:5" ht="12.15" customHeight="1" x14ac:dyDescent="0.2">
      <c r="A101" s="194" t="s">
        <v>101</v>
      </c>
      <c r="B101" s="382" t="s">
        <v>284</v>
      </c>
      <c r="C101" s="249"/>
      <c r="D101" s="213"/>
      <c r="E101" s="602"/>
    </row>
    <row r="102" spans="1:5" ht="12.15" customHeight="1" x14ac:dyDescent="0.25">
      <c r="A102" s="194" t="s">
        <v>102</v>
      </c>
      <c r="B102" s="379" t="s">
        <v>285</v>
      </c>
      <c r="C102" s="249"/>
      <c r="D102" s="213"/>
      <c r="E102" s="602"/>
    </row>
    <row r="103" spans="1:5" ht="12.15" customHeight="1" x14ac:dyDescent="0.25">
      <c r="A103" s="194" t="s">
        <v>103</v>
      </c>
      <c r="B103" s="379" t="s">
        <v>286</v>
      </c>
      <c r="C103" s="249"/>
      <c r="D103" s="213"/>
      <c r="E103" s="602"/>
    </row>
    <row r="104" spans="1:5" ht="12.15" customHeight="1" x14ac:dyDescent="0.2">
      <c r="A104" s="194" t="s">
        <v>105</v>
      </c>
      <c r="B104" s="382" t="s">
        <v>287</v>
      </c>
      <c r="C104" s="249">
        <v>1500803</v>
      </c>
      <c r="D104" s="1103"/>
      <c r="E104" s="602"/>
    </row>
    <row r="105" spans="1:5" ht="12.15" customHeight="1" x14ac:dyDescent="0.2">
      <c r="A105" s="194" t="s">
        <v>137</v>
      </c>
      <c r="B105" s="382" t="s">
        <v>288</v>
      </c>
      <c r="C105" s="249"/>
      <c r="D105" s="213"/>
      <c r="E105" s="602"/>
    </row>
    <row r="106" spans="1:5" ht="12.15" customHeight="1" x14ac:dyDescent="0.25">
      <c r="A106" s="194" t="s">
        <v>282</v>
      </c>
      <c r="B106" s="379" t="s">
        <v>289</v>
      </c>
      <c r="C106" s="249"/>
      <c r="D106" s="213"/>
      <c r="E106" s="602"/>
    </row>
    <row r="107" spans="1:5" ht="12.15" customHeight="1" x14ac:dyDescent="0.25">
      <c r="A107" s="202" t="s">
        <v>283</v>
      </c>
      <c r="B107" s="373" t="s">
        <v>290</v>
      </c>
      <c r="C107" s="249"/>
      <c r="D107" s="213"/>
      <c r="E107" s="602"/>
    </row>
    <row r="108" spans="1:5" ht="12.15" customHeight="1" x14ac:dyDescent="0.25">
      <c r="A108" s="194" t="s">
        <v>399</v>
      </c>
      <c r="B108" s="373" t="s">
        <v>291</v>
      </c>
      <c r="C108" s="249"/>
      <c r="D108" s="213"/>
      <c r="E108" s="602"/>
    </row>
    <row r="109" spans="1:5" ht="12.15" customHeight="1" x14ac:dyDescent="0.25">
      <c r="A109" s="194" t="s">
        <v>400</v>
      </c>
      <c r="B109" s="379" t="s">
        <v>292</v>
      </c>
      <c r="C109" s="246">
        <v>27635000</v>
      </c>
      <c r="D109" s="213"/>
      <c r="E109" s="602"/>
    </row>
    <row r="110" spans="1:5" ht="12.15" customHeight="1" x14ac:dyDescent="0.25">
      <c r="A110" s="194" t="s">
        <v>401</v>
      </c>
      <c r="B110" s="374" t="s">
        <v>47</v>
      </c>
      <c r="C110" s="246">
        <f t="shared" ref="C110" si="18">SUM(C111:C112)</f>
        <v>0</v>
      </c>
      <c r="D110" s="213"/>
      <c r="E110" s="602"/>
    </row>
    <row r="111" spans="1:5" ht="12.15" customHeight="1" x14ac:dyDescent="0.25">
      <c r="A111" s="195" t="s">
        <v>402</v>
      </c>
      <c r="B111" s="371" t="s">
        <v>449</v>
      </c>
      <c r="C111" s="249"/>
      <c r="D111" s="213"/>
      <c r="E111" s="602"/>
    </row>
    <row r="112" spans="1:5" ht="12.15" customHeight="1" thickBot="1" x14ac:dyDescent="0.3">
      <c r="A112" s="203" t="s">
        <v>404</v>
      </c>
      <c r="B112" s="891" t="s">
        <v>450</v>
      </c>
      <c r="C112" s="270"/>
      <c r="D112" s="213"/>
      <c r="E112" s="602"/>
    </row>
    <row r="113" spans="1:5" ht="12.15" customHeight="1" thickBot="1" x14ac:dyDescent="0.3">
      <c r="A113" s="25" t="s">
        <v>17</v>
      </c>
      <c r="B113" s="892" t="s">
        <v>293</v>
      </c>
      <c r="C113" s="255">
        <f t="shared" ref="C113" si="19">+C114+C116+C118</f>
        <v>1792745</v>
      </c>
      <c r="D113" s="213"/>
      <c r="E113" s="602"/>
    </row>
    <row r="114" spans="1:5" ht="12.15" customHeight="1" x14ac:dyDescent="0.25">
      <c r="A114" s="193" t="s">
        <v>91</v>
      </c>
      <c r="B114" s="371" t="s">
        <v>157</v>
      </c>
      <c r="C114" s="1262">
        <f>1556906+235839</f>
        <v>1792745</v>
      </c>
      <c r="D114" s="213"/>
      <c r="E114" s="602"/>
    </row>
    <row r="115" spans="1:5" ht="12.15" customHeight="1" x14ac:dyDescent="0.25">
      <c r="A115" s="193" t="s">
        <v>92</v>
      </c>
      <c r="B115" s="372" t="s">
        <v>297</v>
      </c>
      <c r="C115" s="1005"/>
      <c r="D115" s="213"/>
      <c r="E115" s="602"/>
    </row>
    <row r="116" spans="1:5" ht="12.15" customHeight="1" x14ac:dyDescent="0.25">
      <c r="A116" s="193" t="s">
        <v>93</v>
      </c>
      <c r="B116" s="372" t="s">
        <v>138</v>
      </c>
      <c r="C116" s="246"/>
      <c r="D116" s="213"/>
      <c r="E116" s="602"/>
    </row>
    <row r="117" spans="1:5" ht="12.15" customHeight="1" x14ac:dyDescent="0.25">
      <c r="A117" s="193" t="s">
        <v>94</v>
      </c>
      <c r="B117" s="372" t="s">
        <v>298</v>
      </c>
      <c r="C117" s="246"/>
      <c r="D117" s="213"/>
      <c r="E117" s="602"/>
    </row>
    <row r="118" spans="1:5" ht="12.15" customHeight="1" x14ac:dyDescent="0.25">
      <c r="A118" s="193" t="s">
        <v>95</v>
      </c>
      <c r="B118" s="364" t="s">
        <v>159</v>
      </c>
      <c r="C118" s="246">
        <f t="shared" ref="C118" si="20">SUM(C119:C126)</f>
        <v>0</v>
      </c>
      <c r="D118" s="213"/>
      <c r="E118" s="602"/>
    </row>
    <row r="119" spans="1:5" ht="12.15" customHeight="1" x14ac:dyDescent="0.25">
      <c r="A119" s="193" t="s">
        <v>104</v>
      </c>
      <c r="B119" s="363" t="s">
        <v>358</v>
      </c>
      <c r="C119" s="99"/>
      <c r="D119" s="213"/>
      <c r="E119" s="602"/>
    </row>
    <row r="120" spans="1:5" ht="12.15" customHeight="1" x14ac:dyDescent="0.25">
      <c r="A120" s="193" t="s">
        <v>106</v>
      </c>
      <c r="B120" s="378" t="s">
        <v>303</v>
      </c>
      <c r="C120" s="99"/>
      <c r="D120" s="213"/>
      <c r="E120" s="602"/>
    </row>
    <row r="121" spans="1:5" ht="12.15" customHeight="1" x14ac:dyDescent="0.25">
      <c r="A121" s="193" t="s">
        <v>139</v>
      </c>
      <c r="B121" s="379" t="s">
        <v>286</v>
      </c>
      <c r="C121" s="99"/>
      <c r="D121" s="213"/>
      <c r="E121" s="602"/>
    </row>
    <row r="122" spans="1:5" ht="12.15" customHeight="1" x14ac:dyDescent="0.25">
      <c r="A122" s="193" t="s">
        <v>140</v>
      </c>
      <c r="B122" s="379" t="s">
        <v>302</v>
      </c>
      <c r="C122" s="99"/>
      <c r="D122" s="213"/>
      <c r="E122" s="602"/>
    </row>
    <row r="123" spans="1:5" ht="12.15" customHeight="1" x14ac:dyDescent="0.25">
      <c r="A123" s="193" t="s">
        <v>141</v>
      </c>
      <c r="B123" s="379" t="s">
        <v>301</v>
      </c>
      <c r="C123" s="99"/>
      <c r="D123" s="213"/>
      <c r="E123" s="602"/>
    </row>
    <row r="124" spans="1:5" ht="12.15" customHeight="1" x14ac:dyDescent="0.25">
      <c r="A124" s="193" t="s">
        <v>294</v>
      </c>
      <c r="B124" s="379" t="s">
        <v>289</v>
      </c>
      <c r="C124" s="99"/>
      <c r="D124" s="213"/>
      <c r="E124" s="602"/>
    </row>
    <row r="125" spans="1:5" ht="12.15" customHeight="1" x14ac:dyDescent="0.25">
      <c r="A125" s="193" t="s">
        <v>295</v>
      </c>
      <c r="B125" s="379" t="s">
        <v>300</v>
      </c>
      <c r="C125" s="99"/>
      <c r="D125" s="213"/>
      <c r="E125" s="602"/>
    </row>
    <row r="126" spans="1:5" ht="12.15" customHeight="1" thickBot="1" x14ac:dyDescent="0.3">
      <c r="A126" s="202" t="s">
        <v>296</v>
      </c>
      <c r="B126" s="379" t="s">
        <v>299</v>
      </c>
      <c r="C126" s="249"/>
      <c r="D126" s="213"/>
      <c r="E126" s="602"/>
    </row>
    <row r="127" spans="1:5" ht="12.15" customHeight="1" thickBot="1" x14ac:dyDescent="0.3">
      <c r="A127" s="25" t="s">
        <v>18</v>
      </c>
      <c r="B127" s="356" t="s">
        <v>406</v>
      </c>
      <c r="C127" s="255">
        <f t="shared" ref="C127" si="21">+C92+C113</f>
        <v>95463418</v>
      </c>
      <c r="D127" s="213"/>
      <c r="E127" s="602"/>
    </row>
    <row r="128" spans="1:5" ht="12.15" customHeight="1" thickBot="1" x14ac:dyDescent="0.3">
      <c r="A128" s="25" t="s">
        <v>19</v>
      </c>
      <c r="B128" s="356" t="s">
        <v>407</v>
      </c>
      <c r="C128" s="255">
        <f t="shared" ref="C128" si="22">+C129+C130+C131</f>
        <v>1668000</v>
      </c>
      <c r="D128" s="213"/>
      <c r="E128" s="602"/>
    </row>
    <row r="129" spans="1:11" s="213" customFormat="1" ht="12.15" customHeight="1" x14ac:dyDescent="0.25">
      <c r="A129" s="193" t="s">
        <v>195</v>
      </c>
      <c r="B129" s="376" t="s">
        <v>451</v>
      </c>
      <c r="C129" s="246">
        <v>1668000</v>
      </c>
      <c r="E129" s="602"/>
    </row>
    <row r="130" spans="1:11" ht="12.15" customHeight="1" x14ac:dyDescent="0.25">
      <c r="A130" s="193" t="s">
        <v>198</v>
      </c>
      <c r="B130" s="376" t="s">
        <v>409</v>
      </c>
      <c r="C130" s="246"/>
      <c r="D130" s="213"/>
      <c r="E130" s="602"/>
    </row>
    <row r="131" spans="1:11" ht="12.15" customHeight="1" thickBot="1" x14ac:dyDescent="0.3">
      <c r="A131" s="202" t="s">
        <v>199</v>
      </c>
      <c r="B131" s="377" t="s">
        <v>452</v>
      </c>
      <c r="C131" s="99"/>
      <c r="D131" s="213"/>
      <c r="E131" s="602"/>
    </row>
    <row r="132" spans="1:11" ht="12.15" customHeight="1" thickBot="1" x14ac:dyDescent="0.3">
      <c r="A132" s="25" t="s">
        <v>20</v>
      </c>
      <c r="B132" s="356" t="s">
        <v>411</v>
      </c>
      <c r="C132" s="255">
        <f>+C133+C134+C135+C136+C137+C138</f>
        <v>0</v>
      </c>
      <c r="D132" s="213"/>
      <c r="E132" s="602"/>
    </row>
    <row r="133" spans="1:11" ht="12.15" customHeight="1" x14ac:dyDescent="0.25">
      <c r="A133" s="193" t="s">
        <v>78</v>
      </c>
      <c r="B133" s="376" t="s">
        <v>412</v>
      </c>
      <c r="C133" s="99"/>
      <c r="D133" s="213"/>
      <c r="E133" s="602"/>
    </row>
    <row r="134" spans="1:11" ht="12.15" customHeight="1" x14ac:dyDescent="0.25">
      <c r="A134" s="193" t="s">
        <v>79</v>
      </c>
      <c r="B134" s="376" t="s">
        <v>413</v>
      </c>
      <c r="C134" s="99"/>
      <c r="D134" s="213"/>
      <c r="E134" s="602"/>
    </row>
    <row r="135" spans="1:11" ht="12.15" customHeight="1" x14ac:dyDescent="0.25">
      <c r="A135" s="193" t="s">
        <v>80</v>
      </c>
      <c r="B135" s="376" t="s">
        <v>414</v>
      </c>
      <c r="C135" s="99"/>
      <c r="D135" s="213"/>
      <c r="E135" s="602"/>
    </row>
    <row r="136" spans="1:11" ht="12.15" customHeight="1" x14ac:dyDescent="0.25">
      <c r="A136" s="193" t="s">
        <v>126</v>
      </c>
      <c r="B136" s="376" t="s">
        <v>453</v>
      </c>
      <c r="C136" s="99"/>
      <c r="D136" s="213"/>
      <c r="E136" s="602"/>
    </row>
    <row r="137" spans="1:11" ht="12.15" customHeight="1" x14ac:dyDescent="0.25">
      <c r="A137" s="193" t="s">
        <v>127</v>
      </c>
      <c r="B137" s="376" t="s">
        <v>416</v>
      </c>
      <c r="C137" s="99"/>
      <c r="D137" s="213"/>
      <c r="E137" s="602"/>
    </row>
    <row r="138" spans="1:11" s="213" customFormat="1" ht="12.15" customHeight="1" thickBot="1" x14ac:dyDescent="0.3">
      <c r="A138" s="202" t="s">
        <v>128</v>
      </c>
      <c r="B138" s="377" t="s">
        <v>417</v>
      </c>
      <c r="C138" s="99"/>
      <c r="E138" s="602"/>
    </row>
    <row r="139" spans="1:11" ht="12.15" customHeight="1" thickBot="1" x14ac:dyDescent="0.3">
      <c r="A139" s="25" t="s">
        <v>21</v>
      </c>
      <c r="B139" s="356" t="s">
        <v>454</v>
      </c>
      <c r="C139" s="257">
        <f t="shared" ref="C139" si="23">+C140+C141+C142+C143</f>
        <v>0</v>
      </c>
      <c r="D139" s="213"/>
      <c r="E139" s="602"/>
      <c r="K139" s="98"/>
    </row>
    <row r="140" spans="1:11" ht="15.6" x14ac:dyDescent="0.25">
      <c r="A140" s="193" t="s">
        <v>81</v>
      </c>
      <c r="B140" s="376" t="s">
        <v>304</v>
      </c>
      <c r="C140" s="99"/>
      <c r="D140" s="213"/>
      <c r="E140" s="602"/>
    </row>
    <row r="141" spans="1:11" ht="12.15" customHeight="1" x14ac:dyDescent="0.25">
      <c r="A141" s="193" t="s">
        <v>82</v>
      </c>
      <c r="B141" s="376" t="s">
        <v>305</v>
      </c>
      <c r="C141" s="99"/>
      <c r="D141" s="213"/>
      <c r="E141" s="602"/>
    </row>
    <row r="142" spans="1:11" s="213" customFormat="1" ht="12.15" customHeight="1" x14ac:dyDescent="0.25">
      <c r="A142" s="193" t="s">
        <v>218</v>
      </c>
      <c r="B142" s="376" t="s">
        <v>419</v>
      </c>
      <c r="C142" s="99"/>
      <c r="E142" s="602"/>
    </row>
    <row r="143" spans="1:11" s="213" customFormat="1" ht="12.15" customHeight="1" thickBot="1" x14ac:dyDescent="0.3">
      <c r="A143" s="202" t="s">
        <v>219</v>
      </c>
      <c r="B143" s="377" t="s">
        <v>323</v>
      </c>
      <c r="C143" s="99"/>
      <c r="E143" s="602"/>
    </row>
    <row r="144" spans="1:11" s="213" customFormat="1" ht="12.15" customHeight="1" thickBot="1" x14ac:dyDescent="0.3">
      <c r="A144" s="25" t="s">
        <v>22</v>
      </c>
      <c r="B144" s="356" t="s">
        <v>420</v>
      </c>
      <c r="C144" s="262">
        <f>+C145+C146+C147+C148+C149</f>
        <v>0</v>
      </c>
      <c r="E144" s="602"/>
    </row>
    <row r="145" spans="1:5" s="213" customFormat="1" ht="12.15" customHeight="1" x14ac:dyDescent="0.25">
      <c r="A145" s="193" t="s">
        <v>83</v>
      </c>
      <c r="B145" s="376" t="s">
        <v>421</v>
      </c>
      <c r="C145" s="99"/>
      <c r="E145" s="602"/>
    </row>
    <row r="146" spans="1:5" s="213" customFormat="1" ht="12.15" customHeight="1" x14ac:dyDescent="0.25">
      <c r="A146" s="193" t="s">
        <v>84</v>
      </c>
      <c r="B146" s="376" t="s">
        <v>422</v>
      </c>
      <c r="C146" s="99"/>
      <c r="E146" s="602"/>
    </row>
    <row r="147" spans="1:5" s="213" customFormat="1" ht="12.15" customHeight="1" x14ac:dyDescent="0.25">
      <c r="A147" s="193" t="s">
        <v>230</v>
      </c>
      <c r="B147" s="376" t="s">
        <v>423</v>
      </c>
      <c r="C147" s="99"/>
      <c r="E147" s="602"/>
    </row>
    <row r="148" spans="1:5" ht="12.75" customHeight="1" x14ac:dyDescent="0.25">
      <c r="A148" s="193" t="s">
        <v>231</v>
      </c>
      <c r="B148" s="376" t="s">
        <v>455</v>
      </c>
      <c r="C148" s="99"/>
      <c r="D148" s="213"/>
      <c r="E148" s="602"/>
    </row>
    <row r="149" spans="1:5" ht="12.75" customHeight="1" thickBot="1" x14ac:dyDescent="0.3">
      <c r="A149" s="202" t="s">
        <v>425</v>
      </c>
      <c r="B149" s="377" t="s">
        <v>426</v>
      </c>
      <c r="C149" s="100"/>
      <c r="D149" s="213"/>
      <c r="E149" s="602"/>
    </row>
    <row r="150" spans="1:5" ht="12.75" customHeight="1" thickBot="1" x14ac:dyDescent="0.3">
      <c r="A150" s="244" t="s">
        <v>23</v>
      </c>
      <c r="B150" s="356" t="s">
        <v>427</v>
      </c>
      <c r="C150" s="262"/>
      <c r="D150" s="213"/>
      <c r="E150" s="602"/>
    </row>
    <row r="151" spans="1:5" ht="12.15" customHeight="1" thickBot="1" x14ac:dyDescent="0.3">
      <c r="A151" s="244" t="s">
        <v>24</v>
      </c>
      <c r="B151" s="356" t="s">
        <v>428</v>
      </c>
      <c r="C151" s="262"/>
      <c r="D151" s="213"/>
      <c r="E151" s="602"/>
    </row>
    <row r="152" spans="1:5" ht="15" customHeight="1" thickBot="1" x14ac:dyDescent="0.3">
      <c r="A152" s="25" t="s">
        <v>25</v>
      </c>
      <c r="B152" s="356" t="s">
        <v>429</v>
      </c>
      <c r="C152" s="263">
        <f t="shared" ref="C152" si="24">+C128+C132+C139+C144+C150+C151</f>
        <v>1668000</v>
      </c>
      <c r="D152" s="213"/>
      <c r="E152" s="602"/>
    </row>
    <row r="153" spans="1:5" ht="16.2" thickBot="1" x14ac:dyDescent="0.3">
      <c r="A153" s="204" t="s">
        <v>26</v>
      </c>
      <c r="B153" s="359" t="s">
        <v>430</v>
      </c>
      <c r="C153" s="263">
        <f t="shared" ref="C153" si="25">+C127+C152</f>
        <v>97131418</v>
      </c>
      <c r="D153" s="213"/>
      <c r="E153" s="602"/>
    </row>
    <row r="154" spans="1:5" ht="14.25" customHeight="1" thickBot="1" x14ac:dyDescent="0.3">
      <c r="A154" s="1338" t="s">
        <v>456</v>
      </c>
      <c r="B154" s="1339"/>
      <c r="C154" s="1007">
        <v>0</v>
      </c>
    </row>
    <row r="155" spans="1:5" ht="13.8" thickBot="1" x14ac:dyDescent="0.3">
      <c r="A155" s="1096" t="s">
        <v>996</v>
      </c>
      <c r="B155" s="1094"/>
      <c r="C155" s="391">
        <v>2.42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D1" sqref="D1:G1048576"/>
    </sheetView>
  </sheetViews>
  <sheetFormatPr defaultColWidth="9.33203125" defaultRowHeight="13.2" x14ac:dyDescent="0.25"/>
  <cols>
    <col min="1" max="1" width="13.77734375" style="94" customWidth="1"/>
    <col min="2" max="2" width="79.109375" style="301" customWidth="1"/>
    <col min="3" max="3" width="14" style="301" customWidth="1"/>
    <col min="4" max="4" width="10" style="604" hidden="1" customWidth="1"/>
    <col min="5" max="5" width="10.44140625" style="604" hidden="1" customWidth="1"/>
    <col min="6" max="7" width="9.33203125" style="301" hidden="1" customWidth="1"/>
    <col min="8" max="9" width="9.33203125" style="301" customWidth="1"/>
    <col min="10" max="16384" width="9.33203125" style="301"/>
  </cols>
  <sheetData>
    <row r="1" spans="1:6" x14ac:dyDescent="0.25">
      <c r="A1" s="1340" t="str">
        <f>CONCATENATE("13. melléklet"," ",ALAPADATOK!A7," ",ALAPADATOK!B7," ",ALAPADATOK!C7," ",ALAPADATOK!D7," ",ALAPADATOK!E7," ",ALAPADATOK!F7," ",ALAPADATOK!G7," ",ALAPADATOK!H7)</f>
        <v>13. melléklet a …. / 2024. ( .... ) önkormányzati rendelethez</v>
      </c>
      <c r="B1" s="1340"/>
      <c r="C1" s="1340"/>
    </row>
    <row r="2" spans="1:6" s="1" customFormat="1" ht="21.15" customHeight="1" x14ac:dyDescent="0.25">
      <c r="A2" s="75"/>
      <c r="B2" s="76"/>
      <c r="C2" s="211"/>
      <c r="D2" s="604"/>
      <c r="E2" s="604"/>
    </row>
    <row r="3" spans="1:6" s="1" customFormat="1" ht="16.5" customHeight="1" thickBot="1" x14ac:dyDescent="0.3">
      <c r="A3" s="1290" t="s">
        <v>848</v>
      </c>
      <c r="B3" s="1290"/>
      <c r="C3" s="1290"/>
      <c r="D3" s="605"/>
      <c r="E3" s="605"/>
      <c r="F3" s="604"/>
    </row>
    <row r="4" spans="1:6" ht="23.4" thickBot="1" x14ac:dyDescent="0.3">
      <c r="A4" s="172" t="s">
        <v>153</v>
      </c>
      <c r="B4" s="79" t="s">
        <v>50</v>
      </c>
      <c r="C4" s="80" t="s">
        <v>845</v>
      </c>
    </row>
    <row r="5" spans="1:6" s="32" customFormat="1" ht="12.9" customHeight="1" thickBot="1" x14ac:dyDescent="0.3">
      <c r="A5" s="71" t="s">
        <v>382</v>
      </c>
      <c r="B5" s="72" t="s">
        <v>383</v>
      </c>
      <c r="C5" s="73" t="s">
        <v>384</v>
      </c>
      <c r="D5" s="322"/>
      <c r="E5" s="322"/>
    </row>
    <row r="6" spans="1:6" s="32" customFormat="1" ht="15.9" customHeight="1" thickBot="1" x14ac:dyDescent="0.3">
      <c r="A6" s="81"/>
      <c r="B6" s="82" t="s">
        <v>52</v>
      </c>
      <c r="C6" s="83"/>
      <c r="D6" s="322"/>
      <c r="E6" s="322"/>
    </row>
    <row r="7" spans="1:6" s="38" customFormat="1" ht="12.15" customHeight="1" thickBot="1" x14ac:dyDescent="0.3">
      <c r="A7" s="71" t="s">
        <v>16</v>
      </c>
      <c r="B7" s="84" t="s">
        <v>458</v>
      </c>
      <c r="C7" s="124">
        <f>SUM(C8:C18)</f>
        <v>66232861</v>
      </c>
      <c r="D7" s="331">
        <f>'18. sz. mell PH.'!C7+'19. sz. mell PH.'!C7+'20. sz. mell. PH.'!C7</f>
        <v>66232861</v>
      </c>
      <c r="E7" s="466">
        <f t="shared" ref="E7:E41" si="0">C7-D7</f>
        <v>0</v>
      </c>
    </row>
    <row r="8" spans="1:6" s="38" customFormat="1" ht="12.15" customHeight="1" x14ac:dyDescent="0.25">
      <c r="A8" s="206" t="s">
        <v>85</v>
      </c>
      <c r="B8" s="7" t="s">
        <v>207</v>
      </c>
      <c r="C8" s="156"/>
      <c r="D8" s="331">
        <f>'18. sz. mell PH.'!C8+'19. sz. mell PH.'!C8+'20. sz. mell. PH.'!C8</f>
        <v>0</v>
      </c>
      <c r="E8" s="466">
        <f t="shared" si="0"/>
        <v>0</v>
      </c>
    </row>
    <row r="9" spans="1:6" s="38" customFormat="1" ht="12.15" customHeight="1" x14ac:dyDescent="0.25">
      <c r="A9" s="207" t="s">
        <v>86</v>
      </c>
      <c r="B9" s="5" t="s">
        <v>208</v>
      </c>
      <c r="C9" s="114">
        <v>9779000</v>
      </c>
      <c r="D9" s="331">
        <f>'18. sz. mell PH.'!C9+'19. sz. mell PH.'!C9+'20. sz. mell. PH.'!C9</f>
        <v>9779000</v>
      </c>
      <c r="E9" s="466">
        <f t="shared" si="0"/>
        <v>0</v>
      </c>
    </row>
    <row r="10" spans="1:6" s="38" customFormat="1" ht="12.15" customHeight="1" x14ac:dyDescent="0.25">
      <c r="A10" s="207" t="s">
        <v>87</v>
      </c>
      <c r="B10" s="5" t="s">
        <v>209</v>
      </c>
      <c r="C10" s="114">
        <v>7815477</v>
      </c>
      <c r="D10" s="331">
        <f>'18. sz. mell PH.'!C10+'19. sz. mell PH.'!C10+'20. sz. mell. PH.'!C10</f>
        <v>7815477</v>
      </c>
      <c r="E10" s="466">
        <f t="shared" si="0"/>
        <v>0</v>
      </c>
    </row>
    <row r="11" spans="1:6" s="38" customFormat="1" ht="12.15" customHeight="1" x14ac:dyDescent="0.25">
      <c r="A11" s="207" t="s">
        <v>88</v>
      </c>
      <c r="B11" s="5" t="s">
        <v>210</v>
      </c>
      <c r="C11" s="114"/>
      <c r="D11" s="331">
        <f>'18. sz. mell PH.'!C11+'19. sz. mell PH.'!C11+'20. sz. mell. PH.'!C11</f>
        <v>0</v>
      </c>
      <c r="E11" s="466">
        <f t="shared" si="0"/>
        <v>0</v>
      </c>
    </row>
    <row r="12" spans="1:6" s="38" customFormat="1" ht="12.15" customHeight="1" x14ac:dyDescent="0.25">
      <c r="A12" s="207" t="s">
        <v>111</v>
      </c>
      <c r="B12" s="5" t="s">
        <v>211</v>
      </c>
      <c r="C12" s="114">
        <v>28177725</v>
      </c>
      <c r="D12" s="331">
        <f>'18. sz. mell PH.'!C12+'19. sz. mell PH.'!C12+'20. sz. mell. PH.'!C12</f>
        <v>28177725</v>
      </c>
      <c r="E12" s="466">
        <f t="shared" si="0"/>
        <v>0</v>
      </c>
    </row>
    <row r="13" spans="1:6" s="38" customFormat="1" ht="12.15" customHeight="1" x14ac:dyDescent="0.25">
      <c r="A13" s="207" t="s">
        <v>89</v>
      </c>
      <c r="B13" s="5" t="s">
        <v>331</v>
      </c>
      <c r="C13" s="114">
        <v>9767306</v>
      </c>
      <c r="D13" s="331">
        <f>'18. sz. mell PH.'!C13+'19. sz. mell PH.'!C13+'20. sz. mell. PH.'!C13</f>
        <v>9767306</v>
      </c>
      <c r="E13" s="466">
        <f t="shared" si="0"/>
        <v>0</v>
      </c>
    </row>
    <row r="14" spans="1:6" s="38" customFormat="1" ht="12.15" customHeight="1" x14ac:dyDescent="0.25">
      <c r="A14" s="207" t="s">
        <v>90</v>
      </c>
      <c r="B14" s="4" t="s">
        <v>332</v>
      </c>
      <c r="C14" s="114">
        <v>10591353</v>
      </c>
      <c r="D14" s="331">
        <f>'18. sz. mell PH.'!C14+'19. sz. mell PH.'!C14+'20. sz. mell. PH.'!C14</f>
        <v>10591353</v>
      </c>
      <c r="E14" s="466">
        <f t="shared" si="0"/>
        <v>0</v>
      </c>
    </row>
    <row r="15" spans="1:6" s="38" customFormat="1" ht="12.15" customHeight="1" x14ac:dyDescent="0.25">
      <c r="A15" s="207" t="s">
        <v>100</v>
      </c>
      <c r="B15" s="5" t="s">
        <v>214</v>
      </c>
      <c r="C15" s="125"/>
      <c r="D15" s="331">
        <f>'18. sz. mell PH.'!C15+'19. sz. mell PH.'!C15+'20. sz. mell. PH.'!C15</f>
        <v>0</v>
      </c>
      <c r="E15" s="466">
        <f t="shared" si="0"/>
        <v>0</v>
      </c>
    </row>
    <row r="16" spans="1:6" s="39" customFormat="1" ht="12.15" customHeight="1" x14ac:dyDescent="0.25">
      <c r="A16" s="207" t="s">
        <v>101</v>
      </c>
      <c r="B16" s="5" t="s">
        <v>215</v>
      </c>
      <c r="C16" s="36"/>
      <c r="D16" s="331">
        <f>'18. sz. mell PH.'!C16+'19. sz. mell PH.'!C16+'20. sz. mell. PH.'!C16</f>
        <v>0</v>
      </c>
      <c r="E16" s="466">
        <f t="shared" si="0"/>
        <v>0</v>
      </c>
    </row>
    <row r="17" spans="1:5" s="39" customFormat="1" ht="12.15" customHeight="1" x14ac:dyDescent="0.25">
      <c r="A17" s="207" t="s">
        <v>102</v>
      </c>
      <c r="B17" s="5" t="s">
        <v>388</v>
      </c>
      <c r="C17" s="389"/>
      <c r="D17" s="331">
        <f>'18. sz. mell PH.'!C17+'19. sz. mell PH.'!C17+'20. sz. mell. PH.'!C17</f>
        <v>0</v>
      </c>
      <c r="E17" s="466">
        <f t="shared" si="0"/>
        <v>0</v>
      </c>
    </row>
    <row r="18" spans="1:5" s="39" customFormat="1" ht="12.15" customHeight="1" thickBot="1" x14ac:dyDescent="0.3">
      <c r="A18" s="207" t="s">
        <v>103</v>
      </c>
      <c r="B18" s="4" t="s">
        <v>216</v>
      </c>
      <c r="C18" s="389">
        <v>102000</v>
      </c>
      <c r="D18" s="331">
        <f>'18. sz. mell PH.'!C18+'19. sz. mell PH.'!C18+'20. sz. mell. PH.'!C18</f>
        <v>102000</v>
      </c>
      <c r="E18" s="466">
        <f t="shared" si="0"/>
        <v>0</v>
      </c>
    </row>
    <row r="19" spans="1:5" s="38" customFormat="1" ht="12.15" customHeight="1" thickBot="1" x14ac:dyDescent="0.3">
      <c r="A19" s="71" t="s">
        <v>17</v>
      </c>
      <c r="B19" s="84" t="s">
        <v>333</v>
      </c>
      <c r="C19" s="124">
        <f>SUM(C20:C22)</f>
        <v>0</v>
      </c>
      <c r="D19" s="331">
        <f>'18. sz. mell PH.'!C19+'19. sz. mell PH.'!C19+'20. sz. mell. PH.'!C19</f>
        <v>0</v>
      </c>
      <c r="E19" s="466">
        <f t="shared" si="0"/>
        <v>0</v>
      </c>
    </row>
    <row r="20" spans="1:5" s="39" customFormat="1" ht="12.15" customHeight="1" x14ac:dyDescent="0.25">
      <c r="A20" s="207" t="s">
        <v>91</v>
      </c>
      <c r="B20" s="6" t="s">
        <v>185</v>
      </c>
      <c r="C20" s="122"/>
      <c r="D20" s="331">
        <f>'18. sz. mell PH.'!C20+'19. sz. mell PH.'!C20+'20. sz. mell. PH.'!C20</f>
        <v>0</v>
      </c>
      <c r="E20" s="466">
        <f t="shared" si="0"/>
        <v>0</v>
      </c>
    </row>
    <row r="21" spans="1:5" s="39" customFormat="1" ht="12.15" customHeight="1" x14ac:dyDescent="0.25">
      <c r="A21" s="207" t="s">
        <v>92</v>
      </c>
      <c r="B21" s="5" t="s">
        <v>334</v>
      </c>
      <c r="C21" s="36"/>
      <c r="D21" s="331">
        <f>'18. sz. mell PH.'!C21+'19. sz. mell PH.'!C21+'20. sz. mell. PH.'!C21</f>
        <v>0</v>
      </c>
      <c r="E21" s="466">
        <f t="shared" si="0"/>
        <v>0</v>
      </c>
    </row>
    <row r="22" spans="1:5" s="39" customFormat="1" ht="12.15" customHeight="1" x14ac:dyDescent="0.25">
      <c r="A22" s="207" t="s">
        <v>93</v>
      </c>
      <c r="B22" s="5" t="s">
        <v>335</v>
      </c>
      <c r="C22" s="36"/>
      <c r="D22" s="331">
        <f>'18. sz. mell PH.'!C22+'19. sz. mell PH.'!C22+'20. sz. mell. PH.'!C22</f>
        <v>0</v>
      </c>
      <c r="E22" s="466">
        <f t="shared" si="0"/>
        <v>0</v>
      </c>
    </row>
    <row r="23" spans="1:5" s="39" customFormat="1" ht="12.15" customHeight="1" thickBot="1" x14ac:dyDescent="0.3">
      <c r="A23" s="207" t="s">
        <v>94</v>
      </c>
      <c r="B23" s="5" t="s">
        <v>459</v>
      </c>
      <c r="C23" s="36"/>
      <c r="D23" s="331">
        <f>'18. sz. mell PH.'!C23+'19. sz. mell PH.'!C23+'20. sz. mell. PH.'!C23</f>
        <v>0</v>
      </c>
      <c r="E23" s="466">
        <f t="shared" si="0"/>
        <v>0</v>
      </c>
    </row>
    <row r="24" spans="1:5" s="39" customFormat="1" ht="12.15" customHeight="1" thickBot="1" x14ac:dyDescent="0.3">
      <c r="A24" s="74" t="s">
        <v>18</v>
      </c>
      <c r="B24" s="54" t="s">
        <v>125</v>
      </c>
      <c r="C24" s="142"/>
      <c r="D24" s="331">
        <f>'18. sz. mell PH.'!C24+'19. sz. mell PH.'!C24+'20. sz. mell. PH.'!C24</f>
        <v>0</v>
      </c>
      <c r="E24" s="466">
        <f t="shared" si="0"/>
        <v>0</v>
      </c>
    </row>
    <row r="25" spans="1:5" s="39" customFormat="1" ht="12.15" customHeight="1" thickBot="1" x14ac:dyDescent="0.3">
      <c r="A25" s="74" t="s">
        <v>19</v>
      </c>
      <c r="B25" s="54" t="s">
        <v>460</v>
      </c>
      <c r="C25" s="124">
        <f>+C26+C27+C28</f>
        <v>0</v>
      </c>
      <c r="D25" s="331">
        <f>'18. sz. mell PH.'!C25+'19. sz. mell PH.'!C25+'20. sz. mell. PH.'!C25</f>
        <v>0</v>
      </c>
      <c r="E25" s="466">
        <f t="shared" si="0"/>
        <v>0</v>
      </c>
    </row>
    <row r="26" spans="1:5" s="39" customFormat="1" ht="12.15" customHeight="1" x14ac:dyDescent="0.25">
      <c r="A26" s="208" t="s">
        <v>195</v>
      </c>
      <c r="B26" s="209" t="s">
        <v>190</v>
      </c>
      <c r="C26" s="34"/>
      <c r="D26" s="331">
        <f>'18. sz. mell PH.'!C26+'19. sz. mell PH.'!C26+'20. sz. mell. PH.'!C26</f>
        <v>0</v>
      </c>
      <c r="E26" s="466">
        <f t="shared" si="0"/>
        <v>0</v>
      </c>
    </row>
    <row r="27" spans="1:5" s="39" customFormat="1" ht="12.15" customHeight="1" x14ac:dyDescent="0.25">
      <c r="A27" s="208" t="s">
        <v>198</v>
      </c>
      <c r="B27" s="209" t="s">
        <v>334</v>
      </c>
      <c r="C27" s="122"/>
      <c r="D27" s="331">
        <f>'18. sz. mell PH.'!C27+'19. sz. mell PH.'!C27+'20. sz. mell. PH.'!C27</f>
        <v>0</v>
      </c>
      <c r="E27" s="466">
        <f t="shared" si="0"/>
        <v>0</v>
      </c>
    </row>
    <row r="28" spans="1:5" s="39" customFormat="1" ht="12.15" customHeight="1" x14ac:dyDescent="0.25">
      <c r="A28" s="208" t="s">
        <v>199</v>
      </c>
      <c r="B28" s="210" t="s">
        <v>336</v>
      </c>
      <c r="C28" s="122"/>
      <c r="D28" s="331">
        <f>'18. sz. mell PH.'!C28+'19. sz. mell PH.'!C28+'20. sz. mell. PH.'!C28</f>
        <v>0</v>
      </c>
      <c r="E28" s="466">
        <f t="shared" si="0"/>
        <v>0</v>
      </c>
    </row>
    <row r="29" spans="1:5" s="39" customFormat="1" ht="12.15" customHeight="1" thickBot="1" x14ac:dyDescent="0.3">
      <c r="A29" s="207" t="s">
        <v>200</v>
      </c>
      <c r="B29" s="57" t="s">
        <v>461</v>
      </c>
      <c r="C29" s="633"/>
      <c r="D29" s="331">
        <f>'18. sz. mell PH.'!C29+'19. sz. mell PH.'!C29+'20. sz. mell. PH.'!C29</f>
        <v>0</v>
      </c>
      <c r="E29" s="466">
        <f t="shared" si="0"/>
        <v>0</v>
      </c>
    </row>
    <row r="30" spans="1:5" s="39" customFormat="1" ht="12.15" customHeight="1" thickBot="1" x14ac:dyDescent="0.3">
      <c r="A30" s="74" t="s">
        <v>20</v>
      </c>
      <c r="B30" s="54" t="s">
        <v>337</v>
      </c>
      <c r="C30" s="124">
        <f>+C31+C32+C33</f>
        <v>0</v>
      </c>
      <c r="D30" s="331">
        <f>'18. sz. mell PH.'!C30+'19. sz. mell PH.'!C30+'20. sz. mell. PH.'!C30</f>
        <v>0</v>
      </c>
      <c r="E30" s="466">
        <f t="shared" si="0"/>
        <v>0</v>
      </c>
    </row>
    <row r="31" spans="1:5" s="39" customFormat="1" ht="12.15" customHeight="1" x14ac:dyDescent="0.25">
      <c r="A31" s="208" t="s">
        <v>78</v>
      </c>
      <c r="B31" s="209" t="s">
        <v>221</v>
      </c>
      <c r="C31" s="34"/>
      <c r="D31" s="331">
        <f>'18. sz. mell PH.'!C31+'19. sz. mell PH.'!C31+'20. sz. mell. PH.'!C31</f>
        <v>0</v>
      </c>
      <c r="E31" s="466">
        <f t="shared" si="0"/>
        <v>0</v>
      </c>
    </row>
    <row r="32" spans="1:5" s="39" customFormat="1" ht="12.15" customHeight="1" x14ac:dyDescent="0.25">
      <c r="A32" s="208" t="s">
        <v>79</v>
      </c>
      <c r="B32" s="210" t="s">
        <v>222</v>
      </c>
      <c r="C32" s="125"/>
      <c r="D32" s="331">
        <f>'18. sz. mell PH.'!C32+'19. sz. mell PH.'!C32+'20. sz. mell. PH.'!C32</f>
        <v>0</v>
      </c>
      <c r="E32" s="466">
        <f t="shared" si="0"/>
        <v>0</v>
      </c>
    </row>
    <row r="33" spans="1:11" s="39" customFormat="1" ht="12.15" customHeight="1" thickBot="1" x14ac:dyDescent="0.3">
      <c r="A33" s="207" t="s">
        <v>80</v>
      </c>
      <c r="B33" s="57" t="s">
        <v>223</v>
      </c>
      <c r="C33" s="633"/>
      <c r="D33" s="331">
        <f>'18. sz. mell PH.'!C33+'19. sz. mell PH.'!C33+'20. sz. mell. PH.'!C33</f>
        <v>0</v>
      </c>
      <c r="E33" s="466">
        <f t="shared" si="0"/>
        <v>0</v>
      </c>
    </row>
    <row r="34" spans="1:11" s="38" customFormat="1" ht="12.15" customHeight="1" thickBot="1" x14ac:dyDescent="0.3">
      <c r="A34" s="74" t="s">
        <v>21</v>
      </c>
      <c r="B34" s="54" t="s">
        <v>309</v>
      </c>
      <c r="C34" s="142"/>
      <c r="D34" s="331">
        <f>'18. sz. mell PH.'!C34+'19. sz. mell PH.'!C34+'20. sz. mell. PH.'!C34</f>
        <v>0</v>
      </c>
      <c r="E34" s="466">
        <f t="shared" si="0"/>
        <v>0</v>
      </c>
    </row>
    <row r="35" spans="1:11" s="38" customFormat="1" ht="12.15" customHeight="1" thickBot="1" x14ac:dyDescent="0.3">
      <c r="A35" s="74" t="s">
        <v>22</v>
      </c>
      <c r="B35" s="54" t="s">
        <v>338</v>
      </c>
      <c r="C35" s="158"/>
      <c r="D35" s="331">
        <f>'18. sz. mell PH.'!C35+'19. sz. mell PH.'!C35+'20. sz. mell. PH.'!C35</f>
        <v>0</v>
      </c>
      <c r="E35" s="466">
        <f t="shared" si="0"/>
        <v>0</v>
      </c>
    </row>
    <row r="36" spans="1:11" s="38" customFormat="1" ht="12.15" customHeight="1" thickBot="1" x14ac:dyDescent="0.3">
      <c r="A36" s="71" t="s">
        <v>23</v>
      </c>
      <c r="B36" s="54" t="s">
        <v>339</v>
      </c>
      <c r="C36" s="634">
        <f>+C7+C19+C24+C25+C30+C34+C35</f>
        <v>66232861</v>
      </c>
      <c r="D36" s="331">
        <f>'18. sz. mell PH.'!C36+'19. sz. mell PH.'!C36+'20. sz. mell. PH.'!C36</f>
        <v>66232861</v>
      </c>
      <c r="E36" s="466">
        <f t="shared" si="0"/>
        <v>0</v>
      </c>
    </row>
    <row r="37" spans="1:11" s="38" customFormat="1" ht="12.15" customHeight="1" thickBot="1" x14ac:dyDescent="0.3">
      <c r="A37" s="85" t="s">
        <v>24</v>
      </c>
      <c r="B37" s="54" t="s">
        <v>340</v>
      </c>
      <c r="C37" s="634">
        <f>+C38+C39+C40</f>
        <v>667409283</v>
      </c>
      <c r="D37" s="331">
        <f>'18. sz. mell PH.'!C37+'19. sz. mell PH.'!C37+'20. sz. mell. PH.'!C37</f>
        <v>667409283</v>
      </c>
      <c r="E37" s="466">
        <f t="shared" si="0"/>
        <v>0</v>
      </c>
    </row>
    <row r="38" spans="1:11" s="38" customFormat="1" ht="12.15" customHeight="1" x14ac:dyDescent="0.25">
      <c r="A38" s="208" t="s">
        <v>341</v>
      </c>
      <c r="B38" s="209" t="s">
        <v>166</v>
      </c>
      <c r="C38" s="34">
        <v>2347904</v>
      </c>
      <c r="D38" s="331">
        <f>'18. sz. mell PH.'!C38+'19. sz. mell PH.'!C38+'20. sz. mell. PH.'!C38</f>
        <v>2347904</v>
      </c>
      <c r="E38" s="466">
        <f t="shared" si="0"/>
        <v>0</v>
      </c>
      <c r="K38" s="687"/>
    </row>
    <row r="39" spans="1:11" s="38" customFormat="1" ht="12.15" customHeight="1" x14ac:dyDescent="0.25">
      <c r="A39" s="208" t="s">
        <v>342</v>
      </c>
      <c r="B39" s="210" t="s">
        <v>6</v>
      </c>
      <c r="C39" s="125"/>
      <c r="D39" s="331">
        <f>'18. sz. mell PH.'!C39+'19. sz. mell PH.'!C39+'20. sz. mell. PH.'!C39</f>
        <v>0</v>
      </c>
      <c r="E39" s="466">
        <f t="shared" si="0"/>
        <v>0</v>
      </c>
    </row>
    <row r="40" spans="1:11" s="39" customFormat="1" ht="12.15" customHeight="1" thickBot="1" x14ac:dyDescent="0.3">
      <c r="A40" s="207" t="s">
        <v>343</v>
      </c>
      <c r="B40" s="57" t="s">
        <v>344</v>
      </c>
      <c r="C40" s="799">
        <f>654043709+11017670</f>
        <v>665061379</v>
      </c>
      <c r="D40" s="331">
        <f>'18. sz. mell PH.'!C40+'19. sz. mell PH.'!C40+'20. sz. mell. PH.'!C40</f>
        <v>665061379</v>
      </c>
      <c r="E40" s="466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733642144</v>
      </c>
      <c r="D41" s="331">
        <f>'18. sz. mell PH.'!C41+'19. sz. mell PH.'!C41+'20. sz. mell. PH.'!C41</f>
        <v>733642144</v>
      </c>
      <c r="E41" s="466">
        <f t="shared" si="0"/>
        <v>0</v>
      </c>
    </row>
    <row r="42" spans="1:11" s="39" customFormat="1" ht="15" customHeight="1" x14ac:dyDescent="0.25">
      <c r="A42" s="87"/>
      <c r="B42" s="88"/>
      <c r="C42" s="159"/>
      <c r="D42" s="331">
        <f>'18. sz. mell PH.'!C42+'19. sz. mell PH.'!C42+'20. sz. mell. PH.'!C42</f>
        <v>0</v>
      </c>
      <c r="E42" s="604"/>
    </row>
    <row r="43" spans="1:11" ht="13.8" thickBot="1" x14ac:dyDescent="0.3">
      <c r="A43" s="89"/>
      <c r="B43" s="90"/>
      <c r="C43" s="160"/>
      <c r="D43" s="331">
        <f>'18. sz. mell PH.'!C43+'19. sz. mell PH.'!C43+'20. sz. mell. PH.'!C43</f>
        <v>0</v>
      </c>
    </row>
    <row r="44" spans="1:11" s="32" customFormat="1" ht="16.5" customHeight="1" thickBot="1" x14ac:dyDescent="0.3">
      <c r="A44" s="91"/>
      <c r="B44" s="92" t="s">
        <v>53</v>
      </c>
      <c r="C44" s="161"/>
      <c r="D44" s="331">
        <f>'18. sz. mell PH.'!C44+'19. sz. mell PH.'!C44+'20. sz. mell. PH.'!C44</f>
        <v>0</v>
      </c>
      <c r="E44" s="322"/>
    </row>
    <row r="45" spans="1:11" s="213" customFormat="1" ht="12.15" customHeight="1" thickBot="1" x14ac:dyDescent="0.3">
      <c r="A45" s="74" t="s">
        <v>16</v>
      </c>
      <c r="B45" s="54" t="s">
        <v>346</v>
      </c>
      <c r="C45" s="124">
        <f>SUM(C46:C50)</f>
        <v>727855646</v>
      </c>
      <c r="D45" s="331">
        <f>'18. sz. mell PH.'!C45+'19. sz. mell PH.'!C45+'20. sz. mell. PH.'!C45</f>
        <v>727855646</v>
      </c>
      <c r="E45" s="466">
        <f t="shared" ref="E45:E57" si="1">C45-D45</f>
        <v>0</v>
      </c>
    </row>
    <row r="46" spans="1:11" ht="12.15" customHeight="1" x14ac:dyDescent="0.25">
      <c r="A46" s="207" t="s">
        <v>85</v>
      </c>
      <c r="B46" s="6" t="s">
        <v>46</v>
      </c>
      <c r="C46" s="251">
        <v>280273727</v>
      </c>
      <c r="D46" s="331">
        <f>'18. sz. mell PH.'!C46+'19. sz. mell PH.'!C46+'20. sz. mell. PH.'!C46</f>
        <v>280273727</v>
      </c>
      <c r="E46" s="466">
        <f t="shared" si="1"/>
        <v>0</v>
      </c>
    </row>
    <row r="47" spans="1:11" ht="12.15" customHeight="1" x14ac:dyDescent="0.25">
      <c r="A47" s="207" t="s">
        <v>86</v>
      </c>
      <c r="B47" s="5" t="s">
        <v>134</v>
      </c>
      <c r="C47" s="114">
        <v>42621838</v>
      </c>
      <c r="D47" s="331">
        <f>'18. sz. mell PH.'!C47+'19. sz. mell PH.'!C47+'20. sz. mell. PH.'!C47</f>
        <v>42621838</v>
      </c>
      <c r="E47" s="466">
        <f t="shared" si="1"/>
        <v>0</v>
      </c>
    </row>
    <row r="48" spans="1:11" ht="12.15" customHeight="1" x14ac:dyDescent="0.25">
      <c r="A48" s="207" t="s">
        <v>87</v>
      </c>
      <c r="B48" s="5" t="s">
        <v>110</v>
      </c>
      <c r="C48" s="1250">
        <f>393942411+11017670</f>
        <v>404960081</v>
      </c>
      <c r="D48" s="331">
        <f>'18. sz. mell PH.'!C48+'19. sz. mell PH.'!C48+'20. sz. mell. PH.'!C48</f>
        <v>404960081</v>
      </c>
      <c r="E48" s="466">
        <f t="shared" si="1"/>
        <v>0</v>
      </c>
    </row>
    <row r="49" spans="1:9" ht="12.15" customHeight="1" x14ac:dyDescent="0.25">
      <c r="A49" s="207" t="s">
        <v>88</v>
      </c>
      <c r="B49" s="5" t="s">
        <v>135</v>
      </c>
      <c r="C49" s="36"/>
      <c r="D49" s="331">
        <f>'18. sz. mell PH.'!C49+'19. sz. mell PH.'!C49+'20. sz. mell. PH.'!C49</f>
        <v>0</v>
      </c>
      <c r="E49" s="466">
        <f t="shared" si="1"/>
        <v>0</v>
      </c>
    </row>
    <row r="50" spans="1:9" ht="12.15" customHeight="1" thickBot="1" x14ac:dyDescent="0.3">
      <c r="A50" s="207" t="s">
        <v>111</v>
      </c>
      <c r="B50" s="5" t="s">
        <v>136</v>
      </c>
      <c r="C50" s="170"/>
      <c r="D50" s="331">
        <f>'18. sz. mell PH.'!C50+'19. sz. mell PH.'!C50+'20. sz. mell. PH.'!C50</f>
        <v>0</v>
      </c>
      <c r="E50" s="466">
        <f t="shared" si="1"/>
        <v>0</v>
      </c>
    </row>
    <row r="51" spans="1:9" ht="12.15" customHeight="1" thickBot="1" x14ac:dyDescent="0.3">
      <c r="A51" s="74" t="s">
        <v>17</v>
      </c>
      <c r="B51" s="54" t="s">
        <v>347</v>
      </c>
      <c r="C51" s="124">
        <f>SUM(C52:C54)</f>
        <v>5786498</v>
      </c>
      <c r="D51" s="331">
        <f>'18. sz. mell PH.'!C51+'19. sz. mell PH.'!C51+'20. sz. mell. PH.'!C51</f>
        <v>5786498</v>
      </c>
      <c r="E51" s="466">
        <f t="shared" si="1"/>
        <v>0</v>
      </c>
    </row>
    <row r="52" spans="1:9" s="213" customFormat="1" ht="12.15" customHeight="1" x14ac:dyDescent="0.25">
      <c r="A52" s="207" t="s">
        <v>91</v>
      </c>
      <c r="B52" s="6" t="s">
        <v>157</v>
      </c>
      <c r="C52" s="214">
        <v>5786498</v>
      </c>
      <c r="D52" s="331">
        <f>'18. sz. mell PH.'!C52+'19. sz. mell PH.'!C52+'20. sz. mell. PH.'!C52</f>
        <v>5786498</v>
      </c>
      <c r="E52" s="466">
        <f t="shared" si="1"/>
        <v>0</v>
      </c>
    </row>
    <row r="53" spans="1:9" ht="12.15" customHeight="1" x14ac:dyDescent="0.25">
      <c r="A53" s="207" t="s">
        <v>92</v>
      </c>
      <c r="B53" s="5" t="s">
        <v>138</v>
      </c>
      <c r="C53" s="36"/>
      <c r="D53" s="331">
        <f>'18. sz. mell PH.'!C53+'19. sz. mell PH.'!C53+'20. sz. mell. PH.'!C53</f>
        <v>0</v>
      </c>
      <c r="E53" s="466">
        <f t="shared" si="1"/>
        <v>0</v>
      </c>
    </row>
    <row r="54" spans="1:9" ht="12.15" customHeight="1" x14ac:dyDescent="0.25">
      <c r="A54" s="207" t="s">
        <v>93</v>
      </c>
      <c r="B54" s="5" t="s">
        <v>54</v>
      </c>
      <c r="C54" s="36"/>
      <c r="D54" s="331">
        <f>'18. sz. mell PH.'!C54+'19. sz. mell PH.'!C54+'20. sz. mell. PH.'!C54</f>
        <v>0</v>
      </c>
      <c r="E54" s="466">
        <f t="shared" si="1"/>
        <v>0</v>
      </c>
    </row>
    <row r="55" spans="1:9" ht="12.15" customHeight="1" thickBot="1" x14ac:dyDescent="0.3">
      <c r="A55" s="207" t="s">
        <v>94</v>
      </c>
      <c r="B55" s="5" t="s">
        <v>462</v>
      </c>
      <c r="C55" s="36"/>
      <c r="D55" s="331">
        <f>'18. sz. mell PH.'!C55+'19. sz. mell PH.'!C55+'20. sz. mell. PH.'!C55</f>
        <v>0</v>
      </c>
      <c r="E55" s="466">
        <f t="shared" si="1"/>
        <v>0</v>
      </c>
    </row>
    <row r="56" spans="1:9" ht="12.15" customHeight="1" thickBot="1" x14ac:dyDescent="0.3">
      <c r="A56" s="74" t="s">
        <v>18</v>
      </c>
      <c r="B56" s="54" t="s">
        <v>12</v>
      </c>
      <c r="C56" s="142"/>
      <c r="D56" s="331">
        <f>'18. sz. mell PH.'!C56+'19. sz. mell PH.'!C56+'20. sz. mell. PH.'!C56</f>
        <v>0</v>
      </c>
      <c r="E56" s="466">
        <f t="shared" si="1"/>
        <v>0</v>
      </c>
    </row>
    <row r="57" spans="1:9" ht="15" customHeight="1" thickBot="1" x14ac:dyDescent="0.3">
      <c r="A57" s="74" t="s">
        <v>19</v>
      </c>
      <c r="B57" s="93" t="s">
        <v>463</v>
      </c>
      <c r="C57" s="162">
        <f>+C45+C51+C56</f>
        <v>733642144</v>
      </c>
      <c r="D57" s="331">
        <f>'18. sz. mell PH.'!C57+'19. sz. mell PH.'!C57+'20. sz. mell. PH.'!C57</f>
        <v>733642144</v>
      </c>
      <c r="E57" s="466">
        <f t="shared" si="1"/>
        <v>0</v>
      </c>
    </row>
    <row r="58" spans="1:9" ht="13.8" thickBot="1" x14ac:dyDescent="0.3">
      <c r="C58" s="163"/>
      <c r="D58" s="331">
        <f>'18. sz. mell PH.'!C58+'19. sz. mell PH.'!C58+'20. sz. mell. PH.'!C58</f>
        <v>0</v>
      </c>
      <c r="E58" s="332"/>
    </row>
    <row r="59" spans="1:9" ht="15" customHeight="1" thickBot="1" x14ac:dyDescent="0.3">
      <c r="A59" s="1341" t="s">
        <v>456</v>
      </c>
      <c r="B59" s="1342"/>
      <c r="C59" s="941">
        <f>47.375+3</f>
        <v>50.375</v>
      </c>
      <c r="D59" s="1042">
        <f>'18. sz. mell PH.'!C59+'19. sz. mell PH.'!C59+'20. sz. mell. PH.'!C59</f>
        <v>50.375</v>
      </c>
      <c r="E59" s="466">
        <f>C59-D59</f>
        <v>0</v>
      </c>
    </row>
    <row r="60" spans="1:9" ht="13.8" thickBot="1" x14ac:dyDescent="0.3">
      <c r="A60" s="1341" t="s">
        <v>990</v>
      </c>
      <c r="B60" s="1342"/>
      <c r="C60" s="941">
        <f>0.5+0.1666</f>
        <v>0.66659999999999997</v>
      </c>
      <c r="I60" s="893"/>
    </row>
  </sheetData>
  <sheetProtection formatCells="0"/>
  <mergeCells count="4">
    <mergeCell ref="A1:C1"/>
    <mergeCell ref="A59:B59"/>
    <mergeCell ref="A3:C3"/>
    <mergeCell ref="A60:B60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>
    <pageSetUpPr fitToPage="1"/>
  </sheetPr>
  <dimension ref="A1:N164"/>
  <sheetViews>
    <sheetView view="pageBreakPreview" zoomScale="115" zoomScaleNormal="115" zoomScaleSheetLayoutView="115" zoomScalePageLayoutView="85" workbookViewId="0">
      <selection activeCell="D1" sqref="D1:N1048576"/>
    </sheetView>
  </sheetViews>
  <sheetFormatPr defaultColWidth="9.33203125" defaultRowHeight="15.6" x14ac:dyDescent="0.3"/>
  <cols>
    <col min="1" max="1" width="9.4414062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44140625" style="167" hidden="1" customWidth="1"/>
    <col min="6" max="9" width="15.33203125" style="167" hidden="1" customWidth="1"/>
    <col min="10" max="10" width="11.109375" style="167" hidden="1" customWidth="1"/>
    <col min="11" max="11" width="15.44140625" style="315" hidden="1" customWidth="1"/>
    <col min="12" max="12" width="17.77734375" style="316" hidden="1" customWidth="1"/>
    <col min="13" max="13" width="15.109375" style="167" hidden="1" customWidth="1"/>
    <col min="14" max="14" width="10" style="167" hidden="1" customWidth="1"/>
    <col min="15" max="16" width="9.33203125" style="167" customWidth="1"/>
    <col min="17" max="16384" width="9.33203125" style="167"/>
  </cols>
  <sheetData>
    <row r="1" spans="1:12" x14ac:dyDescent="0.3">
      <c r="A1" s="1281" t="str">
        <f>CONCATENATE("1. melléklet"," ",ALAPADATOK!A7," ",ALAPADATOK!B7," ",ALAPADATOK!C7," ",ALAPADATOK!D7," ",ALAPADATOK!E7," ",ALAPADATOK!F7," ",ALAPADATOK!G7," ",ALAPADATOK!H7)</f>
        <v>1. melléklet a …. / 2024. ( .... ) önkormányzati rendelethez</v>
      </c>
      <c r="B1" s="1281"/>
      <c r="C1" s="1281"/>
    </row>
    <row r="2" spans="1:12" x14ac:dyDescent="0.3">
      <c r="A2" s="583"/>
      <c r="B2" s="583"/>
      <c r="C2" s="583"/>
    </row>
    <row r="3" spans="1:12" x14ac:dyDescent="0.3">
      <c r="A3" s="1280" t="str">
        <f>CONCATENATE(ALAPADATOK!A3)</f>
        <v>Tiszavasvári Város Önkormányzat</v>
      </c>
      <c r="B3" s="1280"/>
      <c r="C3" s="1280"/>
      <c r="D3" s="1280"/>
      <c r="E3" s="1280"/>
      <c r="F3" s="1280"/>
      <c r="G3" s="1280"/>
      <c r="H3" s="1280"/>
      <c r="I3" s="1280"/>
    </row>
    <row r="4" spans="1:12" x14ac:dyDescent="0.3">
      <c r="A4" s="1279" t="str">
        <f>CONCATENATE(ALAPADATOK!D7," ÉVI KÖLTSÉGVETÉS")</f>
        <v>2024. ÉVI KÖLTSÉGVETÉS</v>
      </c>
      <c r="B4" s="1279"/>
      <c r="C4" s="1279"/>
      <c r="D4" s="1279"/>
      <c r="E4" s="1279"/>
      <c r="F4" s="1279"/>
      <c r="G4" s="1279"/>
      <c r="H4" s="1279"/>
      <c r="I4" s="1279"/>
    </row>
    <row r="5" spans="1:12" x14ac:dyDescent="0.3">
      <c r="A5" s="1279" t="s">
        <v>657</v>
      </c>
      <c r="B5" s="1279"/>
      <c r="C5" s="1279"/>
      <c r="D5" s="1279"/>
      <c r="E5" s="1279"/>
      <c r="F5" s="1279"/>
      <c r="G5" s="1279"/>
      <c r="H5" s="1279"/>
      <c r="I5" s="1279"/>
    </row>
    <row r="7" spans="1:12" ht="15.9" customHeight="1" x14ac:dyDescent="0.3">
      <c r="A7" s="1283" t="s">
        <v>13</v>
      </c>
      <c r="B7" s="1283"/>
      <c r="C7" s="1283"/>
    </row>
    <row r="8" spans="1:12" ht="15.9" customHeight="1" thickBot="1" x14ac:dyDescent="0.35">
      <c r="A8" s="821" t="s">
        <v>114</v>
      </c>
      <c r="B8" s="821"/>
      <c r="C8" s="746" t="s">
        <v>483</v>
      </c>
    </row>
    <row r="9" spans="1:12" ht="38.1" customHeight="1" thickBot="1" x14ac:dyDescent="0.35">
      <c r="A9" s="20" t="s">
        <v>63</v>
      </c>
      <c r="B9" s="21" t="s">
        <v>15</v>
      </c>
      <c r="C9" s="473" t="s">
        <v>1010</v>
      </c>
      <c r="D9" s="167" t="s">
        <v>487</v>
      </c>
      <c r="E9" s="167" t="s">
        <v>488</v>
      </c>
      <c r="F9" s="167" t="s">
        <v>887</v>
      </c>
      <c r="G9" s="167" t="s">
        <v>888</v>
      </c>
      <c r="H9" s="167" t="s">
        <v>889</v>
      </c>
      <c r="I9" s="167" t="s">
        <v>890</v>
      </c>
    </row>
    <row r="10" spans="1:12" s="178" customFormat="1" ht="12.15" customHeight="1" thickBot="1" x14ac:dyDescent="0.25">
      <c r="A10" s="173" t="s">
        <v>382</v>
      </c>
      <c r="B10" s="174" t="s">
        <v>383</v>
      </c>
      <c r="C10" s="747" t="s">
        <v>384</v>
      </c>
      <c r="K10" s="315"/>
      <c r="L10" s="316"/>
    </row>
    <row r="11" spans="1:12" s="179" customFormat="1" ht="12.15" customHeight="1" thickBot="1" x14ac:dyDescent="0.3">
      <c r="A11" s="17" t="s">
        <v>16</v>
      </c>
      <c r="B11" s="18" t="s">
        <v>179</v>
      </c>
      <c r="C11" s="115">
        <f t="shared" ref="C11:C42" si="0">SUM(D11:I11)</f>
        <v>2356863895</v>
      </c>
      <c r="D11" s="255">
        <f t="shared" ref="D11:I11" si="1">+D12+D13+D14+D17+D18+D19</f>
        <v>2356863895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K11" s="317">
        <f>'2. sz.mell. '!C11+'3. sz.mell.'!C11+'4. sz.mell. '!C11+'5. sz.mell.'!C11</f>
        <v>2356863895</v>
      </c>
      <c r="L11" s="317">
        <f t="shared" ref="L11:L42" si="2">C11-K11</f>
        <v>0</v>
      </c>
    </row>
    <row r="12" spans="1:12" s="179" customFormat="1" ht="12.15" customHeight="1" thickBot="1" x14ac:dyDescent="0.3">
      <c r="A12" s="12" t="s">
        <v>85</v>
      </c>
      <c r="B12" s="180" t="s">
        <v>180</v>
      </c>
      <c r="C12" s="383">
        <f t="shared" si="0"/>
        <v>335527915</v>
      </c>
      <c r="D12" s="214">
        <v>335527915</v>
      </c>
      <c r="E12" s="214"/>
      <c r="F12" s="214"/>
      <c r="G12" s="214"/>
      <c r="H12" s="214"/>
      <c r="I12" s="214"/>
      <c r="K12" s="317">
        <f>'2. sz.mell. '!C12+'3. sz.mell.'!C12+'4. sz.mell. '!C12+'5. sz.mell.'!C12</f>
        <v>335527915</v>
      </c>
      <c r="L12" s="318">
        <f t="shared" si="2"/>
        <v>0</v>
      </c>
    </row>
    <row r="13" spans="1:12" s="179" customFormat="1" ht="12.15" customHeight="1" thickBot="1" x14ac:dyDescent="0.3">
      <c r="A13" s="11" t="s">
        <v>86</v>
      </c>
      <c r="B13" s="181" t="s">
        <v>181</v>
      </c>
      <c r="C13" s="274">
        <f t="shared" si="0"/>
        <v>495393274</v>
      </c>
      <c r="D13" s="114">
        <v>495393274</v>
      </c>
      <c r="E13" s="114"/>
      <c r="F13" s="114"/>
      <c r="G13" s="114"/>
      <c r="H13" s="114"/>
      <c r="I13" s="114"/>
      <c r="K13" s="317">
        <f>'2. sz.mell. '!C13+'3. sz.mell.'!C13+'4. sz.mell. '!C13+'5. sz.mell.'!C13</f>
        <v>495393274</v>
      </c>
      <c r="L13" s="319">
        <f t="shared" si="2"/>
        <v>0</v>
      </c>
    </row>
    <row r="14" spans="1:12" s="179" customFormat="1" ht="12.15" customHeight="1" thickBot="1" x14ac:dyDescent="0.3">
      <c r="A14" s="11" t="s">
        <v>87</v>
      </c>
      <c r="B14" s="181" t="s">
        <v>696</v>
      </c>
      <c r="C14" s="274">
        <f t="shared" si="0"/>
        <v>1253331368</v>
      </c>
      <c r="D14" s="114">
        <f t="shared" ref="D14:H14" si="3">SUM(D15:D16)</f>
        <v>1253331368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ref="I14" si="4">SUM(I15:I16)</f>
        <v>0</v>
      </c>
      <c r="K14" s="317">
        <f>'2. sz.mell. '!C14+'3. sz.mell.'!C14+'4. sz.mell. '!C14+'5. sz.mell.'!C14</f>
        <v>1253331368</v>
      </c>
      <c r="L14" s="319">
        <f t="shared" si="2"/>
        <v>0</v>
      </c>
    </row>
    <row r="15" spans="1:12" s="179" customFormat="1" ht="12.15" customHeight="1" thickBot="1" x14ac:dyDescent="0.3">
      <c r="A15" s="11" t="s">
        <v>694</v>
      </c>
      <c r="B15" s="181" t="s">
        <v>697</v>
      </c>
      <c r="C15" s="274">
        <f t="shared" si="0"/>
        <v>897445406</v>
      </c>
      <c r="D15" s="114">
        <v>897445406</v>
      </c>
      <c r="E15" s="114"/>
      <c r="F15" s="114"/>
      <c r="G15" s="114"/>
      <c r="H15" s="114"/>
      <c r="I15" s="114"/>
      <c r="K15" s="317">
        <f>'2. sz.mell. '!C15+'3. sz.mell.'!C15+'4. sz.mell. '!C15+'5. sz.mell.'!C15</f>
        <v>897445406</v>
      </c>
      <c r="L15" s="319">
        <f t="shared" si="2"/>
        <v>0</v>
      </c>
    </row>
    <row r="16" spans="1:12" s="179" customFormat="1" ht="12.15" customHeight="1" thickBot="1" x14ac:dyDescent="0.3">
      <c r="A16" s="11" t="s">
        <v>695</v>
      </c>
      <c r="B16" s="181" t="s">
        <v>698</v>
      </c>
      <c r="C16" s="274">
        <f t="shared" si="0"/>
        <v>355885962</v>
      </c>
      <c r="D16" s="114">
        <v>355885962</v>
      </c>
      <c r="E16" s="114"/>
      <c r="F16" s="114"/>
      <c r="G16" s="114"/>
      <c r="H16" s="114"/>
      <c r="I16" s="114"/>
      <c r="K16" s="317">
        <f>'2. sz.mell. '!C16+'3. sz.mell.'!C16+'4. sz.mell. '!C16+'5. sz.mell.'!C16</f>
        <v>355885962</v>
      </c>
      <c r="L16" s="319">
        <f t="shared" si="2"/>
        <v>0</v>
      </c>
    </row>
    <row r="17" spans="1:12" s="179" customFormat="1" ht="12.15" customHeight="1" thickBot="1" x14ac:dyDescent="0.3">
      <c r="A17" s="11" t="s">
        <v>88</v>
      </c>
      <c r="B17" s="181" t="s">
        <v>183</v>
      </c>
      <c r="C17" s="274">
        <f t="shared" si="0"/>
        <v>59224282</v>
      </c>
      <c r="D17" s="114">
        <v>59224282</v>
      </c>
      <c r="E17" s="114"/>
      <c r="F17" s="114"/>
      <c r="G17" s="114"/>
      <c r="H17" s="114"/>
      <c r="I17" s="114"/>
      <c r="K17" s="317">
        <f>'2. sz.mell. '!C17+'3. sz.mell.'!C17+'4. sz.mell. '!C17+'5. sz.mell.'!C17</f>
        <v>59224282</v>
      </c>
      <c r="L17" s="319">
        <f t="shared" si="2"/>
        <v>0</v>
      </c>
    </row>
    <row r="18" spans="1:12" s="179" customFormat="1" ht="12.15" customHeight="1" thickBot="1" x14ac:dyDescent="0.3">
      <c r="A18" s="11" t="s">
        <v>111</v>
      </c>
      <c r="B18" s="106" t="s">
        <v>385</v>
      </c>
      <c r="C18" s="274">
        <f t="shared" si="0"/>
        <v>213387056</v>
      </c>
      <c r="D18" s="114">
        <f>208998826+30000+1300000+3058230</f>
        <v>213387056</v>
      </c>
      <c r="E18" s="114"/>
      <c r="F18" s="114"/>
      <c r="G18" s="114"/>
      <c r="H18" s="114"/>
      <c r="I18" s="114"/>
      <c r="K18" s="317">
        <f>'2. sz.mell. '!C18+'3. sz.mell.'!C18+'4. sz.mell. '!C18+'5. sz.mell.'!C18</f>
        <v>213387056</v>
      </c>
      <c r="L18" s="319">
        <f t="shared" si="2"/>
        <v>0</v>
      </c>
    </row>
    <row r="19" spans="1:12" s="179" customFormat="1" ht="12.15" customHeight="1" thickBot="1" x14ac:dyDescent="0.3">
      <c r="A19" s="13" t="s">
        <v>89</v>
      </c>
      <c r="B19" s="107" t="s">
        <v>386</v>
      </c>
      <c r="C19" s="384">
        <f t="shared" si="0"/>
        <v>0</v>
      </c>
      <c r="D19" s="246"/>
      <c r="E19" s="114"/>
      <c r="F19" s="114"/>
      <c r="G19" s="114"/>
      <c r="H19" s="114"/>
      <c r="I19" s="114"/>
      <c r="K19" s="317">
        <f>'2. sz.mell. '!C19+'3. sz.mell.'!C19+'4. sz.mell. '!C19+'5. sz.mell.'!C19</f>
        <v>0</v>
      </c>
      <c r="L19" s="320">
        <f t="shared" si="2"/>
        <v>0</v>
      </c>
    </row>
    <row r="20" spans="1:12" s="179" customFormat="1" ht="12.15" customHeight="1" thickBot="1" x14ac:dyDescent="0.3">
      <c r="A20" s="17" t="s">
        <v>17</v>
      </c>
      <c r="B20" s="105" t="s">
        <v>184</v>
      </c>
      <c r="C20" s="115">
        <f t="shared" si="0"/>
        <v>569338983</v>
      </c>
      <c r="D20" s="255">
        <f t="shared" ref="D20:I20" si="5">+D21+D22+D23+D24+D25</f>
        <v>331189983</v>
      </c>
      <c r="E20" s="110">
        <f t="shared" si="5"/>
        <v>0</v>
      </c>
      <c r="F20" s="110">
        <f t="shared" si="5"/>
        <v>0</v>
      </c>
      <c r="G20" s="110">
        <f t="shared" si="5"/>
        <v>0</v>
      </c>
      <c r="H20" s="110">
        <f t="shared" si="5"/>
        <v>0</v>
      </c>
      <c r="I20" s="110">
        <f t="shared" si="5"/>
        <v>238149000</v>
      </c>
      <c r="K20" s="317">
        <f>'2. sz.mell. '!C20+'3. sz.mell.'!C20+'4. sz.mell. '!C20+'5. sz.mell.'!C20</f>
        <v>569338983</v>
      </c>
      <c r="L20" s="317">
        <f t="shared" si="2"/>
        <v>0</v>
      </c>
    </row>
    <row r="21" spans="1:12" s="179" customFormat="1" ht="12.15" customHeight="1" thickBot="1" x14ac:dyDescent="0.3">
      <c r="A21" s="12" t="s">
        <v>91</v>
      </c>
      <c r="B21" s="180" t="s">
        <v>185</v>
      </c>
      <c r="C21" s="383">
        <f t="shared" si="0"/>
        <v>0</v>
      </c>
      <c r="D21" s="639"/>
      <c r="E21" s="214"/>
      <c r="F21" s="214"/>
      <c r="G21" s="214"/>
      <c r="H21" s="214"/>
      <c r="I21" s="214"/>
      <c r="K21" s="317">
        <f>'2. sz.mell. '!C21+'3. sz.mell.'!C21+'4. sz.mell. '!C21+'5. sz.mell.'!C21</f>
        <v>0</v>
      </c>
      <c r="L21" s="318">
        <f t="shared" si="2"/>
        <v>0</v>
      </c>
    </row>
    <row r="22" spans="1:12" s="179" customFormat="1" ht="12.15" customHeight="1" thickBot="1" x14ac:dyDescent="0.3">
      <c r="A22" s="11" t="s">
        <v>92</v>
      </c>
      <c r="B22" s="181" t="s">
        <v>186</v>
      </c>
      <c r="C22" s="274">
        <f t="shared" si="0"/>
        <v>0</v>
      </c>
      <c r="D22" s="246"/>
      <c r="E22" s="114"/>
      <c r="F22" s="114"/>
      <c r="G22" s="114"/>
      <c r="H22" s="114"/>
      <c r="I22" s="114"/>
      <c r="K22" s="317">
        <f>'2. sz.mell. '!C22+'3. sz.mell.'!C22+'4. sz.mell. '!C22+'5. sz.mell.'!C22</f>
        <v>0</v>
      </c>
      <c r="L22" s="319">
        <f t="shared" si="2"/>
        <v>0</v>
      </c>
    </row>
    <row r="23" spans="1:12" s="179" customFormat="1" ht="12.15" customHeight="1" thickBot="1" x14ac:dyDescent="0.3">
      <c r="A23" s="11" t="s">
        <v>93</v>
      </c>
      <c r="B23" s="181" t="s">
        <v>352</v>
      </c>
      <c r="C23" s="274">
        <f t="shared" si="0"/>
        <v>0</v>
      </c>
      <c r="D23" s="246"/>
      <c r="E23" s="114"/>
      <c r="F23" s="114"/>
      <c r="G23" s="114"/>
      <c r="H23" s="114"/>
      <c r="I23" s="114"/>
      <c r="K23" s="317">
        <f>'2. sz.mell. '!C23+'3. sz.mell.'!C23+'4. sz.mell. '!C23+'5. sz.mell.'!C23</f>
        <v>0</v>
      </c>
      <c r="L23" s="319">
        <f t="shared" si="2"/>
        <v>0</v>
      </c>
    </row>
    <row r="24" spans="1:12" s="179" customFormat="1" ht="12.15" customHeight="1" thickBot="1" x14ac:dyDescent="0.3">
      <c r="A24" s="11" t="s">
        <v>94</v>
      </c>
      <c r="B24" s="181" t="s">
        <v>353</v>
      </c>
      <c r="C24" s="274">
        <f t="shared" si="0"/>
        <v>0</v>
      </c>
      <c r="D24" s="246"/>
      <c r="E24" s="114"/>
      <c r="F24" s="114"/>
      <c r="G24" s="114"/>
      <c r="H24" s="114"/>
      <c r="I24" s="114"/>
      <c r="K24" s="317">
        <f>'2. sz.mell. '!C24+'3. sz.mell.'!C24+'4. sz.mell. '!C24+'5. sz.mell.'!C24</f>
        <v>0</v>
      </c>
      <c r="L24" s="319">
        <f t="shared" si="2"/>
        <v>0</v>
      </c>
    </row>
    <row r="25" spans="1:12" s="179" customFormat="1" ht="12.15" customHeight="1" thickBot="1" x14ac:dyDescent="0.3">
      <c r="A25" s="11" t="s">
        <v>95</v>
      </c>
      <c r="B25" s="181" t="s">
        <v>187</v>
      </c>
      <c r="C25" s="628">
        <f t="shared" si="0"/>
        <v>569338983</v>
      </c>
      <c r="D25" s="246">
        <f>308655424+37499+22497060</f>
        <v>331189983</v>
      </c>
      <c r="E25" s="114"/>
      <c r="F25" s="114"/>
      <c r="G25" s="114"/>
      <c r="H25" s="114"/>
      <c r="I25" s="36">
        <v>238149000</v>
      </c>
      <c r="K25" s="317">
        <f>'2. sz.mell. '!C25+'3. sz.mell.'!C25+'4. sz.mell. '!C25+'5. sz.mell.'!C25</f>
        <v>569338983</v>
      </c>
      <c r="L25" s="319">
        <f t="shared" si="2"/>
        <v>0</v>
      </c>
    </row>
    <row r="26" spans="1:12" s="179" customFormat="1" ht="12.15" customHeight="1" thickBot="1" x14ac:dyDescent="0.3">
      <c r="A26" s="13" t="s">
        <v>104</v>
      </c>
      <c r="B26" s="107" t="s">
        <v>188</v>
      </c>
      <c r="C26" s="384">
        <f t="shared" si="0"/>
        <v>48857836</v>
      </c>
      <c r="D26" s="249">
        <f>23087532+37499</f>
        <v>23125031</v>
      </c>
      <c r="E26" s="170"/>
      <c r="F26" s="170"/>
      <c r="G26" s="170"/>
      <c r="H26" s="170"/>
      <c r="I26" s="170">
        <v>25732805</v>
      </c>
      <c r="K26" s="317">
        <f>'2. sz.mell. '!C26+'3. sz.mell.'!C26+'4. sz.mell. '!C26+'5. sz.mell.'!C26</f>
        <v>48857836</v>
      </c>
      <c r="L26" s="320">
        <f t="shared" si="2"/>
        <v>0</v>
      </c>
    </row>
    <row r="27" spans="1:12" s="179" customFormat="1" ht="12.15" customHeight="1" thickBot="1" x14ac:dyDescent="0.3">
      <c r="A27" s="17" t="s">
        <v>18</v>
      </c>
      <c r="B27" s="18" t="s">
        <v>189</v>
      </c>
      <c r="C27" s="247">
        <f t="shared" si="0"/>
        <v>189350492</v>
      </c>
      <c r="D27" s="255">
        <f t="shared" ref="D27:I27" si="6">+D28+D29+D30+D31+D32</f>
        <v>189350492</v>
      </c>
      <c r="E27" s="110">
        <f t="shared" si="6"/>
        <v>0</v>
      </c>
      <c r="F27" s="110">
        <f t="shared" si="6"/>
        <v>0</v>
      </c>
      <c r="G27" s="110">
        <f t="shared" si="6"/>
        <v>0</v>
      </c>
      <c r="H27" s="110">
        <f t="shared" si="6"/>
        <v>0</v>
      </c>
      <c r="I27" s="110">
        <f t="shared" si="6"/>
        <v>0</v>
      </c>
      <c r="K27" s="317">
        <f>'2. sz.mell. '!C27+'3. sz.mell.'!C27+'4. sz.mell. '!C27+'5. sz.mell.'!C27</f>
        <v>189350492</v>
      </c>
      <c r="L27" s="317">
        <f t="shared" si="2"/>
        <v>0</v>
      </c>
    </row>
    <row r="28" spans="1:12" s="179" customFormat="1" ht="12.15" customHeight="1" thickBot="1" x14ac:dyDescent="0.3">
      <c r="A28" s="12" t="s">
        <v>74</v>
      </c>
      <c r="B28" s="180" t="s">
        <v>190</v>
      </c>
      <c r="C28" s="383">
        <f t="shared" si="0"/>
        <v>0</v>
      </c>
      <c r="D28" s="639"/>
      <c r="E28" s="214"/>
      <c r="F28" s="214"/>
      <c r="G28" s="214"/>
      <c r="H28" s="214"/>
      <c r="I28" s="214"/>
      <c r="K28" s="317">
        <f>'2. sz.mell. '!C28+'3. sz.mell.'!C28+'4. sz.mell. '!C28+'5. sz.mell.'!C28</f>
        <v>0</v>
      </c>
      <c r="L28" s="318">
        <f t="shared" si="2"/>
        <v>0</v>
      </c>
    </row>
    <row r="29" spans="1:12" s="179" customFormat="1" ht="12.15" customHeight="1" thickBot="1" x14ac:dyDescent="0.3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  <c r="K29" s="317">
        <f>'2. sz.mell. '!C29+'3. sz.mell.'!C29+'4. sz.mell. '!C29+'5. sz.mell.'!C29</f>
        <v>0</v>
      </c>
      <c r="L29" s="319">
        <f t="shared" si="2"/>
        <v>0</v>
      </c>
    </row>
    <row r="30" spans="1:12" s="179" customFormat="1" ht="12.15" customHeight="1" thickBot="1" x14ac:dyDescent="0.3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K30" s="317">
        <f>'2. sz.mell. '!C30+'3. sz.mell.'!C30+'4. sz.mell. '!C30+'5. sz.mell.'!C30</f>
        <v>0</v>
      </c>
      <c r="L30" s="319">
        <f t="shared" si="2"/>
        <v>0</v>
      </c>
    </row>
    <row r="31" spans="1:12" s="179" customFormat="1" ht="12.15" customHeight="1" thickBot="1" x14ac:dyDescent="0.3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  <c r="K31" s="317">
        <f>'2. sz.mell. '!C31+'3. sz.mell.'!C31+'4. sz.mell. '!C31+'5. sz.mell.'!C31</f>
        <v>0</v>
      </c>
      <c r="L31" s="319">
        <f t="shared" si="2"/>
        <v>0</v>
      </c>
    </row>
    <row r="32" spans="1:12" s="179" customFormat="1" ht="12.15" customHeight="1" thickBot="1" x14ac:dyDescent="0.3">
      <c r="A32" s="11" t="s">
        <v>122</v>
      </c>
      <c r="B32" s="181" t="s">
        <v>192</v>
      </c>
      <c r="C32" s="274">
        <f t="shared" si="0"/>
        <v>189350492</v>
      </c>
      <c r="D32" s="246">
        <f>180273229+9077263</f>
        <v>189350492</v>
      </c>
      <c r="E32" s="114"/>
      <c r="F32" s="114"/>
      <c r="G32" s="114"/>
      <c r="H32" s="114"/>
      <c r="I32" s="114"/>
      <c r="K32" s="317">
        <f>'2. sz.mell. '!C32+'3. sz.mell.'!C32+'4. sz.mell. '!C32+'5. sz.mell.'!C32</f>
        <v>189350492</v>
      </c>
      <c r="L32" s="319">
        <f t="shared" si="2"/>
        <v>0</v>
      </c>
    </row>
    <row r="33" spans="1:14" s="179" customFormat="1" ht="12.15" customHeight="1" thickBot="1" x14ac:dyDescent="0.3">
      <c r="A33" s="13" t="s">
        <v>123</v>
      </c>
      <c r="B33" s="182" t="s">
        <v>193</v>
      </c>
      <c r="C33" s="384">
        <f t="shared" si="0"/>
        <v>189350492</v>
      </c>
      <c r="D33" s="249">
        <f>180273229+9077263</f>
        <v>189350492</v>
      </c>
      <c r="E33" s="170"/>
      <c r="F33" s="170"/>
      <c r="G33" s="170"/>
      <c r="H33" s="170"/>
      <c r="I33" s="170"/>
      <c r="K33" s="317">
        <f>'2. sz.mell. '!C33+'3. sz.mell.'!C33+'4. sz.mell. '!C33+'5. sz.mell.'!C33</f>
        <v>189350492</v>
      </c>
      <c r="L33" s="320">
        <f t="shared" si="2"/>
        <v>0</v>
      </c>
    </row>
    <row r="34" spans="1:14" s="179" customFormat="1" ht="12.15" customHeight="1" thickBot="1" x14ac:dyDescent="0.3">
      <c r="A34" s="17" t="s">
        <v>124</v>
      </c>
      <c r="B34" s="18" t="s">
        <v>194</v>
      </c>
      <c r="C34" s="115">
        <f t="shared" si="0"/>
        <v>753676479</v>
      </c>
      <c r="D34" s="257">
        <f t="shared" ref="D34:I34" si="7">+D35++D39+D40</f>
        <v>753676479</v>
      </c>
      <c r="E34" s="257">
        <f t="shared" si="7"/>
        <v>0</v>
      </c>
      <c r="F34" s="257">
        <f t="shared" si="7"/>
        <v>0</v>
      </c>
      <c r="G34" s="257">
        <f t="shared" si="7"/>
        <v>0</v>
      </c>
      <c r="H34" s="257">
        <f t="shared" si="7"/>
        <v>0</v>
      </c>
      <c r="I34" s="257">
        <f t="shared" si="7"/>
        <v>0</v>
      </c>
      <c r="K34" s="317">
        <f>'2. sz.mell. '!C34+'3. sz.mell.'!C34+'4. sz.mell. '!C34+'5. sz.mell.'!C34</f>
        <v>753676479</v>
      </c>
      <c r="L34" s="317">
        <f t="shared" si="2"/>
        <v>0</v>
      </c>
    </row>
    <row r="35" spans="1:14" s="179" customFormat="1" ht="12.15" customHeight="1" thickBot="1" x14ac:dyDescent="0.3">
      <c r="A35" s="12" t="s">
        <v>195</v>
      </c>
      <c r="B35" s="180" t="s">
        <v>553</v>
      </c>
      <c r="C35" s="383">
        <f t="shared" si="0"/>
        <v>729876479</v>
      </c>
      <c r="D35" s="1040">
        <f t="shared" ref="D35:I35" si="8">SUM(D36:D37)</f>
        <v>729876479</v>
      </c>
      <c r="E35" s="1040">
        <f t="shared" si="8"/>
        <v>0</v>
      </c>
      <c r="F35" s="1040">
        <f t="shared" si="8"/>
        <v>0</v>
      </c>
      <c r="G35" s="1040">
        <f t="shared" si="8"/>
        <v>0</v>
      </c>
      <c r="H35" s="1040">
        <f t="shared" si="8"/>
        <v>0</v>
      </c>
      <c r="I35" s="1040">
        <f t="shared" si="8"/>
        <v>0</v>
      </c>
      <c r="K35" s="317">
        <f>'2. sz.mell. '!C35+'3. sz.mell.'!C35+'4. sz.mell. '!C35+'5. sz.mell.'!C35</f>
        <v>729876479</v>
      </c>
      <c r="L35" s="318">
        <f t="shared" si="2"/>
        <v>0</v>
      </c>
    </row>
    <row r="36" spans="1:14" s="179" customFormat="1" ht="12.15" customHeight="1" thickBot="1" x14ac:dyDescent="0.3">
      <c r="A36" s="11" t="s">
        <v>196</v>
      </c>
      <c r="B36" s="181" t="s">
        <v>201</v>
      </c>
      <c r="C36" s="274">
        <f t="shared" si="0"/>
        <v>95000000</v>
      </c>
      <c r="D36" s="246">
        <v>95000000</v>
      </c>
      <c r="E36" s="114"/>
      <c r="F36" s="114"/>
      <c r="G36" s="114"/>
      <c r="H36" s="114"/>
      <c r="I36" s="114"/>
      <c r="K36" s="317">
        <f>'2. sz.mell. '!C36+'3. sz.mell.'!C36+'4. sz.mell. '!C36+'5. sz.mell.'!C36</f>
        <v>95000000</v>
      </c>
      <c r="L36" s="319">
        <f t="shared" si="2"/>
        <v>0</v>
      </c>
    </row>
    <row r="37" spans="1:14" s="179" customFormat="1" ht="12.15" customHeight="1" thickBot="1" x14ac:dyDescent="0.3">
      <c r="A37" s="11" t="s">
        <v>197</v>
      </c>
      <c r="B37" s="232" t="s">
        <v>552</v>
      </c>
      <c r="C37" s="1247">
        <f t="shared" si="0"/>
        <v>634876479</v>
      </c>
      <c r="D37" s="246">
        <f>616000000+18876479</f>
        <v>634876479</v>
      </c>
      <c r="E37" s="114"/>
      <c r="F37" s="114"/>
      <c r="G37" s="114"/>
      <c r="H37" s="114"/>
      <c r="I37" s="114"/>
      <c r="K37" s="317">
        <f>'2. sz.mell. '!C37+'3. sz.mell.'!C37+'4. sz.mell. '!C37+'5. sz.mell.'!C37</f>
        <v>634876479</v>
      </c>
      <c r="L37" s="319">
        <f t="shared" si="2"/>
        <v>0</v>
      </c>
    </row>
    <row r="38" spans="1:14" s="179" customFormat="1" ht="12.15" customHeight="1" thickBot="1" x14ac:dyDescent="0.3">
      <c r="A38" s="11" t="s">
        <v>198</v>
      </c>
      <c r="B38" s="181" t="s">
        <v>469</v>
      </c>
      <c r="C38" s="273">
        <f t="shared" si="0"/>
        <v>0</v>
      </c>
      <c r="D38" s="246"/>
      <c r="E38" s="114"/>
      <c r="F38" s="114"/>
      <c r="G38" s="114"/>
      <c r="H38" s="114"/>
      <c r="I38" s="114"/>
      <c r="K38" s="317">
        <f>'2. sz.mell. '!C38+'3. sz.mell.'!C38+'4. sz.mell. '!C38+'5. sz.mell.'!C38</f>
        <v>0</v>
      </c>
      <c r="L38" s="319">
        <f t="shared" si="2"/>
        <v>0</v>
      </c>
    </row>
    <row r="39" spans="1:14" s="179" customFormat="1" ht="12.15" customHeight="1" thickBot="1" x14ac:dyDescent="0.3">
      <c r="A39" s="11" t="s">
        <v>199</v>
      </c>
      <c r="B39" s="181" t="s">
        <v>203</v>
      </c>
      <c r="C39" s="273">
        <f t="shared" si="0"/>
        <v>1000000</v>
      </c>
      <c r="D39" s="246">
        <f>1000000</f>
        <v>1000000</v>
      </c>
      <c r="E39" s="114"/>
      <c r="F39" s="114"/>
      <c r="G39" s="114"/>
      <c r="H39" s="114"/>
      <c r="I39" s="114"/>
      <c r="K39" s="317">
        <f>'2. sz.mell. '!C39+'3. sz.mell.'!C39+'4. sz.mell. '!C39+'5. sz.mell.'!C39</f>
        <v>1000000</v>
      </c>
      <c r="L39" s="319">
        <f t="shared" si="2"/>
        <v>0</v>
      </c>
    </row>
    <row r="40" spans="1:14" s="179" customFormat="1" ht="12.15" customHeight="1" thickBot="1" x14ac:dyDescent="0.3">
      <c r="A40" s="13" t="s">
        <v>200</v>
      </c>
      <c r="B40" s="182" t="s">
        <v>204</v>
      </c>
      <c r="C40" s="384">
        <f t="shared" si="0"/>
        <v>22800000</v>
      </c>
      <c r="D40" s="249">
        <f>15000000+7800000</f>
        <v>22800000</v>
      </c>
      <c r="E40" s="170"/>
      <c r="F40" s="170"/>
      <c r="G40" s="170"/>
      <c r="H40" s="170"/>
      <c r="I40" s="170"/>
      <c r="K40" s="317">
        <f>'2. sz.mell. '!C40+'3. sz.mell.'!C40+'4. sz.mell. '!C40+'5. sz.mell.'!C40</f>
        <v>22800000</v>
      </c>
      <c r="L40" s="320">
        <f t="shared" si="2"/>
        <v>0</v>
      </c>
    </row>
    <row r="41" spans="1:14" s="179" customFormat="1" ht="12.15" customHeight="1" thickBot="1" x14ac:dyDescent="0.3">
      <c r="A41" s="17" t="s">
        <v>20</v>
      </c>
      <c r="B41" s="18" t="s">
        <v>387</v>
      </c>
      <c r="C41" s="115">
        <f t="shared" si="0"/>
        <v>495779131</v>
      </c>
      <c r="D41" s="255">
        <f t="shared" ref="D41:H41" si="9">SUM(D42:D52)</f>
        <v>99319168</v>
      </c>
      <c r="E41" s="110">
        <f t="shared" si="9"/>
        <v>66232861</v>
      </c>
      <c r="F41" s="110">
        <f t="shared" si="9"/>
        <v>10122756</v>
      </c>
      <c r="G41" s="110">
        <f t="shared" si="9"/>
        <v>27134400</v>
      </c>
      <c r="H41" s="110">
        <f t="shared" si="9"/>
        <v>1740585</v>
      </c>
      <c r="I41" s="110">
        <f t="shared" ref="I41" si="10">SUM(I42:I52)</f>
        <v>291229361</v>
      </c>
      <c r="K41" s="317">
        <f>'2. sz.mell. '!C41+'3. sz.mell.'!C41+'4. sz.mell. '!C41+'5. sz.mell.'!C41</f>
        <v>495779131</v>
      </c>
      <c r="L41" s="317">
        <f t="shared" si="2"/>
        <v>0</v>
      </c>
    </row>
    <row r="42" spans="1:14" s="179" customFormat="1" ht="12.15" customHeight="1" thickBot="1" x14ac:dyDescent="0.3">
      <c r="A42" s="12" t="s">
        <v>78</v>
      </c>
      <c r="B42" s="180" t="s">
        <v>207</v>
      </c>
      <c r="C42" s="383">
        <f t="shared" si="0"/>
        <v>0</v>
      </c>
      <c r="D42" s="639"/>
      <c r="E42" s="214"/>
      <c r="F42" s="214"/>
      <c r="G42" s="214"/>
      <c r="H42" s="214"/>
      <c r="I42" s="214"/>
      <c r="K42" s="317">
        <f>'2. sz.mell. '!C42+'3. sz.mell.'!C42+'4. sz.mell. '!C42+'5. sz.mell.'!C42</f>
        <v>0</v>
      </c>
      <c r="L42" s="318">
        <f t="shared" si="2"/>
        <v>0</v>
      </c>
      <c r="M42" s="179">
        <f>'14. sz. mell. Önk.'!C38+'17. sz. mell. PH.'!C8+'21. sz. mell TEOI'!C8+'24. sz. mell EKIK'!C8+'27. sz. mell Kornisné Kp.'!C8+'31. sz. mell TIB  '!C8</f>
        <v>0</v>
      </c>
    </row>
    <row r="43" spans="1:14" s="179" customFormat="1" ht="12.75" customHeight="1" thickBot="1" x14ac:dyDescent="0.3">
      <c r="A43" s="11" t="s">
        <v>79</v>
      </c>
      <c r="B43" s="181" t="s">
        <v>208</v>
      </c>
      <c r="C43" s="274">
        <f t="shared" ref="C43:C74" si="11">SUM(D43:I43)</f>
        <v>69228689</v>
      </c>
      <c r="D43" s="246">
        <f>22141976+3878895</f>
        <v>26020871</v>
      </c>
      <c r="E43" s="114">
        <v>9779000</v>
      </c>
      <c r="F43" s="214">
        <v>600000</v>
      </c>
      <c r="G43" s="214">
        <v>19574015</v>
      </c>
      <c r="H43" s="214"/>
      <c r="I43" s="214">
        <v>13254803</v>
      </c>
      <c r="K43" s="317">
        <f>'2. sz.mell. '!C43+'3. sz.mell.'!C43+'4. sz.mell. '!C43+'5. sz.mell.'!C43</f>
        <v>69228689</v>
      </c>
      <c r="L43" s="319">
        <f t="shared" ref="L43:L74" si="12">C43-K43</f>
        <v>0</v>
      </c>
      <c r="M43" s="179">
        <f>'14. sz. mell. Önk.'!C39+'17. sz. mell. PH.'!C9+'21. sz. mell TEOI'!C9+'24. sz. mell EKIK'!C9+'27. sz. mell Kornisné Kp.'!C9+'31. sz. mell TIB  '!C9</f>
        <v>69228689</v>
      </c>
      <c r="N43" s="1112">
        <f>K43-M43</f>
        <v>0</v>
      </c>
    </row>
    <row r="44" spans="1:14" s="179" customFormat="1" ht="12.15" customHeight="1" thickBot="1" x14ac:dyDescent="0.3">
      <c r="A44" s="11" t="s">
        <v>80</v>
      </c>
      <c r="B44" s="181" t="s">
        <v>209</v>
      </c>
      <c r="C44" s="628">
        <f t="shared" si="11"/>
        <v>50181920</v>
      </c>
      <c r="D44" s="246">
        <v>18586443</v>
      </c>
      <c r="E44" s="114">
        <v>7815477</v>
      </c>
      <c r="F44" s="214">
        <v>6980000</v>
      </c>
      <c r="G44" s="214">
        <v>320000</v>
      </c>
      <c r="H44" s="214"/>
      <c r="I44" s="214">
        <v>16480000</v>
      </c>
      <c r="K44" s="317">
        <f>'2. sz.mell. '!C44+'3. sz.mell.'!C44+'4. sz.mell. '!C44+'5. sz.mell.'!C44</f>
        <v>50181920</v>
      </c>
      <c r="L44" s="319">
        <f t="shared" si="12"/>
        <v>0</v>
      </c>
      <c r="M44" s="179">
        <f>'14. sz. mell. Önk.'!C40+'17. sz. mell. PH.'!C10+'21. sz. mell TEOI'!C10+'24. sz. mell EKIK'!C10+'27. sz. mell Kornisné Kp.'!C10+'31. sz. mell TIB  '!C10</f>
        <v>50181920</v>
      </c>
      <c r="N44" s="1112">
        <f t="shared" ref="N44:N52" si="13">K44-M44</f>
        <v>0</v>
      </c>
    </row>
    <row r="45" spans="1:14" s="179" customFormat="1" ht="12.15" customHeight="1" thickBot="1" x14ac:dyDescent="0.3">
      <c r="A45" s="11" t="s">
        <v>126</v>
      </c>
      <c r="B45" s="181" t="s">
        <v>210</v>
      </c>
      <c r="C45" s="274">
        <f t="shared" si="11"/>
        <v>3395000</v>
      </c>
      <c r="D45" s="246">
        <v>3395000</v>
      </c>
      <c r="E45" s="114"/>
      <c r="F45" s="214"/>
      <c r="G45" s="214"/>
      <c r="H45" s="214"/>
      <c r="I45" s="214"/>
      <c r="K45" s="317">
        <f>'2. sz.mell. '!C45+'3. sz.mell.'!C45+'4. sz.mell. '!C45+'5. sz.mell.'!C45</f>
        <v>3395000</v>
      </c>
      <c r="L45" s="319">
        <f t="shared" si="12"/>
        <v>0</v>
      </c>
      <c r="M45" s="179">
        <f>'14. sz. mell. Önk.'!C41+'17. sz. mell. PH.'!C11+'21. sz. mell TEOI'!C11+'24. sz. mell EKIK'!C11+'27. sz. mell Kornisné Kp.'!C11+'31. sz. mell TIB  '!C11</f>
        <v>3395000</v>
      </c>
      <c r="N45" s="1112">
        <f t="shared" si="13"/>
        <v>0</v>
      </c>
    </row>
    <row r="46" spans="1:14" s="179" customFormat="1" ht="12.15" customHeight="1" thickBot="1" x14ac:dyDescent="0.3">
      <c r="A46" s="11" t="s">
        <v>127</v>
      </c>
      <c r="B46" s="181" t="s">
        <v>211</v>
      </c>
      <c r="C46" s="274">
        <f t="shared" si="11"/>
        <v>286716590</v>
      </c>
      <c r="D46" s="246"/>
      <c r="E46" s="114">
        <v>28177725</v>
      </c>
      <c r="F46" s="214">
        <v>382800</v>
      </c>
      <c r="G46" s="214"/>
      <c r="H46" s="214">
        <v>1740585</v>
      </c>
      <c r="I46" s="214">
        <v>256415480</v>
      </c>
      <c r="K46" s="317">
        <f>'2. sz.mell. '!C46+'3. sz.mell.'!C46+'4. sz.mell. '!C46+'5. sz.mell.'!C46</f>
        <v>286716590</v>
      </c>
      <c r="L46" s="319">
        <f t="shared" si="12"/>
        <v>0</v>
      </c>
      <c r="M46" s="179">
        <f>'14. sz. mell. Önk.'!C42+'17. sz. mell. PH.'!C12+'21. sz. mell TEOI'!C12+'24. sz. mell EKIK'!C12+'27. sz. mell Kornisné Kp.'!C12+'31. sz. mell TIB  '!C12</f>
        <v>286716590</v>
      </c>
      <c r="N46" s="1112">
        <f t="shared" si="13"/>
        <v>0</v>
      </c>
    </row>
    <row r="47" spans="1:14" s="179" customFormat="1" ht="12.15" customHeight="1" thickBot="1" x14ac:dyDescent="0.3">
      <c r="A47" s="11" t="s">
        <v>128</v>
      </c>
      <c r="B47" s="181" t="s">
        <v>212</v>
      </c>
      <c r="C47" s="628">
        <f t="shared" si="11"/>
        <v>35274351</v>
      </c>
      <c r="D47" s="246">
        <f>11859324+1047302</f>
        <v>12906626</v>
      </c>
      <c r="E47" s="114">
        <v>9767306</v>
      </c>
      <c r="F47" s="214">
        <v>2149956</v>
      </c>
      <c r="G47" s="214">
        <v>5371385</v>
      </c>
      <c r="H47" s="214"/>
      <c r="I47" s="214">
        <v>5079078</v>
      </c>
      <c r="K47" s="317">
        <f>'2. sz.mell. '!C47+'3. sz.mell.'!C47+'4. sz.mell. '!C47+'5. sz.mell.'!C47</f>
        <v>35274351</v>
      </c>
      <c r="L47" s="319">
        <f t="shared" si="12"/>
        <v>0</v>
      </c>
      <c r="M47" s="179">
        <f>'14. sz. mell. Önk.'!C43+'17. sz. mell. PH.'!C13+'21. sz. mell TEOI'!C13+'24. sz. mell EKIK'!C13+'27. sz. mell Kornisné Kp.'!C13+'31. sz. mell TIB  '!C13</f>
        <v>35274351</v>
      </c>
      <c r="N47" s="1112">
        <f t="shared" si="13"/>
        <v>0</v>
      </c>
    </row>
    <row r="48" spans="1:14" s="179" customFormat="1" ht="12.15" customHeight="1" thickBot="1" x14ac:dyDescent="0.3">
      <c r="A48" s="11" t="s">
        <v>129</v>
      </c>
      <c r="B48" s="181" t="s">
        <v>213</v>
      </c>
      <c r="C48" s="274">
        <f t="shared" si="11"/>
        <v>50270581</v>
      </c>
      <c r="D48" s="246">
        <v>37810228</v>
      </c>
      <c r="E48" s="114">
        <v>10591353</v>
      </c>
      <c r="F48" s="214"/>
      <c r="G48" s="214">
        <v>1869000</v>
      </c>
      <c r="H48" s="214"/>
      <c r="I48" s="214"/>
      <c r="K48" s="317">
        <f>'2. sz.mell. '!C48+'3. sz.mell.'!C48+'4. sz.mell. '!C48+'5. sz.mell.'!C48</f>
        <v>50270581</v>
      </c>
      <c r="L48" s="319">
        <f t="shared" si="12"/>
        <v>0</v>
      </c>
      <c r="M48" s="179">
        <f>'14. sz. mell. Önk.'!C44+'17. sz. mell. PH.'!C14+'21. sz. mell TEOI'!C14+'24. sz. mell EKIK'!C14+'27. sz. mell Kornisné Kp.'!C14+'31. sz. mell TIB  '!C14</f>
        <v>50270581</v>
      </c>
      <c r="N48" s="1112">
        <f t="shared" si="13"/>
        <v>0</v>
      </c>
    </row>
    <row r="49" spans="1:14" s="179" customFormat="1" ht="12.15" customHeight="1" thickBot="1" x14ac:dyDescent="0.3">
      <c r="A49" s="11" t="s">
        <v>130</v>
      </c>
      <c r="B49" s="181" t="s">
        <v>474</v>
      </c>
      <c r="C49" s="274">
        <f t="shared" si="11"/>
        <v>0</v>
      </c>
      <c r="D49" s="246"/>
      <c r="E49" s="114"/>
      <c r="F49" s="214"/>
      <c r="G49" s="214"/>
      <c r="H49" s="214"/>
      <c r="I49" s="214"/>
      <c r="K49" s="317">
        <f>'2. sz.mell. '!C49+'3. sz.mell.'!C49+'4. sz.mell. '!C49+'5. sz.mell.'!C49</f>
        <v>0</v>
      </c>
      <c r="L49" s="319">
        <f t="shared" si="12"/>
        <v>0</v>
      </c>
      <c r="M49" s="179">
        <f>'14. sz. mell. Önk.'!C45+'17. sz. mell. PH.'!C15+'21. sz. mell TEOI'!C15+'24. sz. mell EKIK'!C15+'27. sz. mell Kornisné Kp.'!C15+'31. sz. mell TIB  '!C15</f>
        <v>0</v>
      </c>
      <c r="N49" s="1112">
        <f t="shared" si="13"/>
        <v>0</v>
      </c>
    </row>
    <row r="50" spans="1:14" s="179" customFormat="1" ht="12.15" customHeight="1" thickBot="1" x14ac:dyDescent="0.3">
      <c r="A50" s="11" t="s">
        <v>205</v>
      </c>
      <c r="B50" s="181" t="s">
        <v>215</v>
      </c>
      <c r="C50" s="274">
        <f t="shared" si="11"/>
        <v>0</v>
      </c>
      <c r="D50" s="246"/>
      <c r="E50" s="114"/>
      <c r="F50" s="214"/>
      <c r="G50" s="214"/>
      <c r="H50" s="214"/>
      <c r="I50" s="214"/>
      <c r="K50" s="317">
        <f>'2. sz.mell. '!C50+'3. sz.mell.'!C50+'4. sz.mell. '!C50+'5. sz.mell.'!C50</f>
        <v>0</v>
      </c>
      <c r="L50" s="319">
        <f t="shared" si="12"/>
        <v>0</v>
      </c>
      <c r="M50" s="179">
        <f>'14. sz. mell. Önk.'!C46+'17. sz. mell. PH.'!C16+'21. sz. mell TEOI'!C16+'24. sz. mell EKIK'!C16+'27. sz. mell Kornisné Kp.'!C16+'31. sz. mell TIB  '!C16</f>
        <v>0</v>
      </c>
      <c r="N50" s="1112">
        <f t="shared" si="13"/>
        <v>0</v>
      </c>
    </row>
    <row r="51" spans="1:14" s="179" customFormat="1" ht="12.15" customHeight="1" thickBot="1" x14ac:dyDescent="0.3">
      <c r="A51" s="13" t="s">
        <v>206</v>
      </c>
      <c r="B51" s="182" t="s">
        <v>388</v>
      </c>
      <c r="C51" s="274">
        <f t="shared" si="11"/>
        <v>0</v>
      </c>
      <c r="D51" s="249"/>
      <c r="E51" s="170"/>
      <c r="F51" s="214"/>
      <c r="G51" s="214"/>
      <c r="H51" s="214"/>
      <c r="I51" s="214"/>
      <c r="K51" s="317">
        <f>'2. sz.mell. '!C51+'3. sz.mell.'!C51+'4. sz.mell. '!C51+'5. sz.mell.'!C51</f>
        <v>0</v>
      </c>
      <c r="L51" s="319">
        <f t="shared" si="12"/>
        <v>0</v>
      </c>
      <c r="M51" s="179">
        <f>'14. sz. mell. Önk.'!C47+'17. sz. mell. PH.'!C17+'21. sz. mell TEOI'!C17+'24. sz. mell EKIK'!C17+'27. sz. mell Kornisné Kp.'!C17+'31. sz. mell TIB  '!C17</f>
        <v>0</v>
      </c>
      <c r="N51" s="1112">
        <f t="shared" si="13"/>
        <v>0</v>
      </c>
    </row>
    <row r="52" spans="1:14" s="179" customFormat="1" ht="12.15" customHeight="1" thickBot="1" x14ac:dyDescent="0.3">
      <c r="A52" s="13" t="s">
        <v>389</v>
      </c>
      <c r="B52" s="107" t="s">
        <v>216</v>
      </c>
      <c r="C52" s="384">
        <f t="shared" si="11"/>
        <v>712000</v>
      </c>
      <c r="D52" s="249">
        <v>600000</v>
      </c>
      <c r="E52" s="170">
        <v>102000</v>
      </c>
      <c r="F52" s="214">
        <v>10000</v>
      </c>
      <c r="G52" s="214"/>
      <c r="H52" s="214"/>
      <c r="I52" s="214"/>
      <c r="K52" s="317">
        <f>'2. sz.mell. '!C52+'3. sz.mell.'!C52+'4. sz.mell. '!C52+'5. sz.mell.'!C52</f>
        <v>712000</v>
      </c>
      <c r="L52" s="320">
        <f t="shared" si="12"/>
        <v>0</v>
      </c>
      <c r="M52" s="179">
        <f>'14. sz. mell. Önk.'!C48+'17. sz. mell. PH.'!C18+'21. sz. mell TEOI'!C18+'24. sz. mell EKIK'!C18+'27. sz. mell Kornisné Kp.'!C18+'31. sz. mell TIB  '!C18</f>
        <v>712000</v>
      </c>
      <c r="N52" s="1112">
        <f t="shared" si="13"/>
        <v>0</v>
      </c>
    </row>
    <row r="53" spans="1:14" s="179" customFormat="1" ht="12.15" customHeight="1" thickBot="1" x14ac:dyDescent="0.3">
      <c r="A53" s="17" t="s">
        <v>21</v>
      </c>
      <c r="B53" s="18" t="s">
        <v>217</v>
      </c>
      <c r="C53" s="115">
        <f t="shared" si="11"/>
        <v>20000000</v>
      </c>
      <c r="D53" s="255">
        <f t="shared" ref="D53:H53" si="14">SUM(D54:D58)</f>
        <v>20000000</v>
      </c>
      <c r="E53" s="110">
        <f t="shared" si="14"/>
        <v>0</v>
      </c>
      <c r="F53" s="110">
        <f t="shared" si="14"/>
        <v>0</v>
      </c>
      <c r="G53" s="110">
        <f t="shared" si="14"/>
        <v>0</v>
      </c>
      <c r="H53" s="110">
        <f t="shared" si="14"/>
        <v>0</v>
      </c>
      <c r="I53" s="110">
        <f t="shared" ref="I53" si="15">SUM(I54:I58)</f>
        <v>0</v>
      </c>
      <c r="K53" s="317">
        <f>'2. sz.mell. '!C53+'3. sz.mell.'!C53+'4. sz.mell. '!C53+'5. sz.mell.'!C53</f>
        <v>20000000</v>
      </c>
      <c r="L53" s="317">
        <f t="shared" si="12"/>
        <v>0</v>
      </c>
    </row>
    <row r="54" spans="1:14" s="179" customFormat="1" ht="12.15" customHeight="1" thickBot="1" x14ac:dyDescent="0.3">
      <c r="A54" s="12" t="s">
        <v>81</v>
      </c>
      <c r="B54" s="180" t="s">
        <v>221</v>
      </c>
      <c r="C54" s="383">
        <f t="shared" si="11"/>
        <v>0</v>
      </c>
      <c r="D54" s="639"/>
      <c r="E54" s="214"/>
      <c r="F54" s="214"/>
      <c r="G54" s="214"/>
      <c r="H54" s="214"/>
      <c r="I54" s="214"/>
      <c r="K54" s="317">
        <f>'2. sz.mell. '!C54+'3. sz.mell.'!C54+'4. sz.mell. '!C54+'5. sz.mell.'!C54</f>
        <v>0</v>
      </c>
      <c r="L54" s="318">
        <f t="shared" si="12"/>
        <v>0</v>
      </c>
    </row>
    <row r="55" spans="1:14" s="179" customFormat="1" ht="12.15" customHeight="1" thickBot="1" x14ac:dyDescent="0.3">
      <c r="A55" s="11" t="s">
        <v>82</v>
      </c>
      <c r="B55" s="181" t="s">
        <v>222</v>
      </c>
      <c r="C55" s="274">
        <f t="shared" si="11"/>
        <v>20000000</v>
      </c>
      <c r="D55" s="246">
        <v>20000000</v>
      </c>
      <c r="E55" s="114"/>
      <c r="F55" s="114"/>
      <c r="G55" s="114"/>
      <c r="H55" s="114"/>
      <c r="I55" s="114"/>
      <c r="K55" s="317">
        <f>'2. sz.mell. '!C55+'3. sz.mell.'!C55+'4. sz.mell. '!C55+'5. sz.mell.'!C55</f>
        <v>20000000</v>
      </c>
      <c r="L55" s="319">
        <f t="shared" si="12"/>
        <v>0</v>
      </c>
    </row>
    <row r="56" spans="1:14" s="179" customFormat="1" ht="12.15" customHeight="1" thickBot="1" x14ac:dyDescent="0.3">
      <c r="A56" s="11" t="s">
        <v>218</v>
      </c>
      <c r="B56" s="181" t="s">
        <v>223</v>
      </c>
      <c r="C56" s="274">
        <f t="shared" si="11"/>
        <v>0</v>
      </c>
      <c r="D56" s="246"/>
      <c r="E56" s="114"/>
      <c r="F56" s="114"/>
      <c r="G56" s="114"/>
      <c r="H56" s="114"/>
      <c r="I56" s="114"/>
      <c r="K56" s="317">
        <f>'2. sz.mell. '!C56+'3. sz.mell.'!C56+'4. sz.mell. '!C56+'5. sz.mell.'!C56</f>
        <v>0</v>
      </c>
      <c r="L56" s="319">
        <f t="shared" si="12"/>
        <v>0</v>
      </c>
    </row>
    <row r="57" spans="1:14" s="179" customFormat="1" ht="12.15" customHeight="1" thickBot="1" x14ac:dyDescent="0.3">
      <c r="A57" s="11" t="s">
        <v>219</v>
      </c>
      <c r="B57" s="181" t="s">
        <v>224</v>
      </c>
      <c r="C57" s="274">
        <f t="shared" si="11"/>
        <v>0</v>
      </c>
      <c r="D57" s="246"/>
      <c r="E57" s="114"/>
      <c r="F57" s="114"/>
      <c r="G57" s="114"/>
      <c r="H57" s="114"/>
      <c r="I57" s="114"/>
      <c r="K57" s="317">
        <f>'2. sz.mell. '!C57+'3. sz.mell.'!C57+'4. sz.mell. '!C57+'5. sz.mell.'!C57</f>
        <v>0</v>
      </c>
      <c r="L57" s="319">
        <f t="shared" si="12"/>
        <v>0</v>
      </c>
    </row>
    <row r="58" spans="1:14" s="179" customFormat="1" ht="12.15" customHeight="1" thickBot="1" x14ac:dyDescent="0.3">
      <c r="A58" s="13" t="s">
        <v>220</v>
      </c>
      <c r="B58" s="107" t="s">
        <v>225</v>
      </c>
      <c r="C58" s="384">
        <f t="shared" si="11"/>
        <v>0</v>
      </c>
      <c r="D58" s="249"/>
      <c r="E58" s="170"/>
      <c r="F58" s="170"/>
      <c r="G58" s="170"/>
      <c r="H58" s="170"/>
      <c r="I58" s="170"/>
      <c r="K58" s="317">
        <f>'2. sz.mell. '!C58+'3. sz.mell.'!C58+'4. sz.mell. '!C58+'5. sz.mell.'!C58</f>
        <v>0</v>
      </c>
      <c r="L58" s="320">
        <f t="shared" si="12"/>
        <v>0</v>
      </c>
    </row>
    <row r="59" spans="1:14" s="179" customFormat="1" ht="12.15" customHeight="1" thickBot="1" x14ac:dyDescent="0.3">
      <c r="A59" s="17" t="s">
        <v>131</v>
      </c>
      <c r="B59" s="362" t="s">
        <v>226</v>
      </c>
      <c r="C59" s="445">
        <f t="shared" si="11"/>
        <v>1345000</v>
      </c>
      <c r="D59" s="255">
        <f t="shared" ref="D59:H59" si="16">SUM(D60:D62)</f>
        <v>1345000</v>
      </c>
      <c r="E59" s="110">
        <f t="shared" si="16"/>
        <v>0</v>
      </c>
      <c r="F59" s="110">
        <f t="shared" si="16"/>
        <v>0</v>
      </c>
      <c r="G59" s="110">
        <f t="shared" si="16"/>
        <v>0</v>
      </c>
      <c r="H59" s="110">
        <f t="shared" si="16"/>
        <v>0</v>
      </c>
      <c r="I59" s="110">
        <f t="shared" ref="I59" si="17">SUM(I60:I62)</f>
        <v>0</v>
      </c>
      <c r="K59" s="317">
        <f>'2. sz.mell. '!C59+'3. sz.mell.'!C59+'4. sz.mell. '!C59+'5. sz.mell.'!C59</f>
        <v>1345000</v>
      </c>
      <c r="L59" s="317">
        <f t="shared" si="12"/>
        <v>0</v>
      </c>
    </row>
    <row r="60" spans="1:14" s="179" customFormat="1" ht="12.15" customHeight="1" thickBot="1" x14ac:dyDescent="0.3">
      <c r="A60" s="12" t="s">
        <v>83</v>
      </c>
      <c r="B60" s="180" t="s">
        <v>227</v>
      </c>
      <c r="C60" s="273">
        <f t="shared" si="11"/>
        <v>50000</v>
      </c>
      <c r="D60" s="639">
        <v>50000</v>
      </c>
      <c r="E60" s="214"/>
      <c r="F60" s="214"/>
      <c r="G60" s="214"/>
      <c r="H60" s="214"/>
      <c r="I60" s="214"/>
      <c r="K60" s="317">
        <f>'2. sz.mell. '!C60+'3. sz.mell.'!C60+'4. sz.mell. '!C60+'5. sz.mell.'!C60</f>
        <v>50000</v>
      </c>
      <c r="L60" s="318">
        <f t="shared" si="12"/>
        <v>0</v>
      </c>
    </row>
    <row r="61" spans="1:14" s="179" customFormat="1" ht="12.15" customHeight="1" thickBot="1" x14ac:dyDescent="0.3">
      <c r="A61" s="11" t="s">
        <v>84</v>
      </c>
      <c r="B61" s="181" t="s">
        <v>356</v>
      </c>
      <c r="C61" s="274">
        <f t="shared" si="11"/>
        <v>200000</v>
      </c>
      <c r="D61" s="246">
        <v>200000</v>
      </c>
      <c r="E61" s="114"/>
      <c r="F61" s="114"/>
      <c r="G61" s="114"/>
      <c r="H61" s="114"/>
      <c r="I61" s="114"/>
      <c r="K61" s="317">
        <f>'2. sz.mell. '!C61+'3. sz.mell.'!C61+'4. sz.mell. '!C61+'5. sz.mell.'!C61</f>
        <v>200000</v>
      </c>
      <c r="L61" s="319">
        <f t="shared" si="12"/>
        <v>0</v>
      </c>
    </row>
    <row r="62" spans="1:14" s="179" customFormat="1" ht="12.15" customHeight="1" thickBot="1" x14ac:dyDescent="0.3">
      <c r="A62" s="11" t="s">
        <v>230</v>
      </c>
      <c r="B62" s="181" t="s">
        <v>228</v>
      </c>
      <c r="C62" s="274">
        <f t="shared" si="11"/>
        <v>1095000</v>
      </c>
      <c r="D62" s="246">
        <v>1095000</v>
      </c>
      <c r="E62" s="114"/>
      <c r="F62" s="114"/>
      <c r="G62" s="114"/>
      <c r="H62" s="114"/>
      <c r="I62" s="114"/>
      <c r="K62" s="317">
        <f>'2. sz.mell. '!C62+'3. sz.mell.'!C62+'4. sz.mell. '!C62+'5. sz.mell.'!C62</f>
        <v>1095000</v>
      </c>
      <c r="L62" s="319">
        <f t="shared" si="12"/>
        <v>0</v>
      </c>
    </row>
    <row r="63" spans="1:14" s="179" customFormat="1" ht="12.15" customHeight="1" thickBot="1" x14ac:dyDescent="0.3">
      <c r="A63" s="13" t="s">
        <v>231</v>
      </c>
      <c r="B63" s="107" t="s">
        <v>229</v>
      </c>
      <c r="C63" s="384">
        <f t="shared" si="11"/>
        <v>0</v>
      </c>
      <c r="D63" s="249"/>
      <c r="E63" s="170"/>
      <c r="F63" s="170"/>
      <c r="G63" s="170"/>
      <c r="H63" s="170"/>
      <c r="I63" s="170"/>
      <c r="K63" s="317">
        <f>'2. sz.mell. '!C63+'3. sz.mell.'!C63+'4. sz.mell. '!C63+'5. sz.mell.'!C63</f>
        <v>0</v>
      </c>
      <c r="L63" s="320">
        <f t="shared" si="12"/>
        <v>0</v>
      </c>
    </row>
    <row r="64" spans="1:14" s="179" customFormat="1" ht="12.15" customHeight="1" thickBot="1" x14ac:dyDescent="0.3">
      <c r="A64" s="17" t="s">
        <v>23</v>
      </c>
      <c r="B64" s="105" t="s">
        <v>232</v>
      </c>
      <c r="C64" s="115">
        <f t="shared" si="11"/>
        <v>0</v>
      </c>
      <c r="D64" s="255">
        <f t="shared" ref="D64:H64" si="18">SUM(D65:D67)</f>
        <v>0</v>
      </c>
      <c r="E64" s="110">
        <f t="shared" si="18"/>
        <v>0</v>
      </c>
      <c r="F64" s="110">
        <f t="shared" si="18"/>
        <v>0</v>
      </c>
      <c r="G64" s="110">
        <f t="shared" si="18"/>
        <v>0</v>
      </c>
      <c r="H64" s="110">
        <f t="shared" si="18"/>
        <v>0</v>
      </c>
      <c r="I64" s="110">
        <f t="shared" ref="I64" si="19">SUM(I65:I67)</f>
        <v>0</v>
      </c>
      <c r="K64" s="317">
        <f>'2. sz.mell. '!C64+'3. sz.mell.'!C64+'4. sz.mell. '!C64+'5. sz.mell.'!C64</f>
        <v>0</v>
      </c>
      <c r="L64" s="317">
        <f t="shared" si="12"/>
        <v>0</v>
      </c>
    </row>
    <row r="65" spans="1:12" s="179" customFormat="1" ht="12.15" customHeight="1" thickBot="1" x14ac:dyDescent="0.3">
      <c r="A65" s="12" t="s">
        <v>132</v>
      </c>
      <c r="B65" s="180" t="s">
        <v>234</v>
      </c>
      <c r="C65" s="383">
        <f t="shared" si="11"/>
        <v>0</v>
      </c>
      <c r="D65" s="246"/>
      <c r="E65" s="114"/>
      <c r="F65" s="114"/>
      <c r="G65" s="114"/>
      <c r="H65" s="114"/>
      <c r="I65" s="114"/>
      <c r="K65" s="317">
        <f>'2. sz.mell. '!C65+'3. sz.mell.'!C65+'4. sz.mell. '!C65+'5. sz.mell.'!C65</f>
        <v>0</v>
      </c>
      <c r="L65" s="318">
        <f t="shared" si="12"/>
        <v>0</v>
      </c>
    </row>
    <row r="66" spans="1:12" s="179" customFormat="1" ht="12.15" customHeight="1" thickBot="1" x14ac:dyDescent="0.3">
      <c r="A66" s="11" t="s">
        <v>133</v>
      </c>
      <c r="B66" s="181" t="s">
        <v>357</v>
      </c>
      <c r="C66" s="274">
        <f t="shared" si="11"/>
        <v>0</v>
      </c>
      <c r="D66" s="246"/>
      <c r="E66" s="114"/>
      <c r="F66" s="114"/>
      <c r="G66" s="114"/>
      <c r="H66" s="114"/>
      <c r="I66" s="114"/>
      <c r="K66" s="317">
        <f>'2. sz.mell. '!C66+'3. sz.mell.'!C66+'4. sz.mell. '!C66+'5. sz.mell.'!C66</f>
        <v>0</v>
      </c>
      <c r="L66" s="319">
        <f t="shared" si="12"/>
        <v>0</v>
      </c>
    </row>
    <row r="67" spans="1:12" s="179" customFormat="1" ht="12.15" customHeight="1" thickBot="1" x14ac:dyDescent="0.3">
      <c r="A67" s="11" t="s">
        <v>158</v>
      </c>
      <c r="B67" s="181" t="s">
        <v>235</v>
      </c>
      <c r="C67" s="274">
        <f t="shared" si="11"/>
        <v>0</v>
      </c>
      <c r="D67" s="246"/>
      <c r="E67" s="114"/>
      <c r="F67" s="114"/>
      <c r="G67" s="114"/>
      <c r="H67" s="114"/>
      <c r="I67" s="114"/>
      <c r="K67" s="317">
        <f>'2. sz.mell. '!C67+'3. sz.mell.'!C67+'4. sz.mell. '!C67+'5. sz.mell.'!C67</f>
        <v>0</v>
      </c>
      <c r="L67" s="319">
        <f t="shared" si="12"/>
        <v>0</v>
      </c>
    </row>
    <row r="68" spans="1:12" s="179" customFormat="1" ht="12.15" customHeight="1" thickBot="1" x14ac:dyDescent="0.3">
      <c r="A68" s="13" t="s">
        <v>233</v>
      </c>
      <c r="B68" s="107" t="s">
        <v>236</v>
      </c>
      <c r="C68" s="384">
        <f t="shared" si="11"/>
        <v>0</v>
      </c>
      <c r="D68" s="246"/>
      <c r="E68" s="114"/>
      <c r="F68" s="114"/>
      <c r="G68" s="114"/>
      <c r="H68" s="114"/>
      <c r="I68" s="114"/>
      <c r="K68" s="317">
        <f>'2. sz.mell. '!C68+'3. sz.mell.'!C68+'4. sz.mell. '!C68+'5. sz.mell.'!C68</f>
        <v>0</v>
      </c>
      <c r="L68" s="320">
        <f t="shared" si="12"/>
        <v>0</v>
      </c>
    </row>
    <row r="69" spans="1:12" s="179" customFormat="1" ht="12.15" customHeight="1" thickBot="1" x14ac:dyDescent="0.3">
      <c r="A69" s="233" t="s">
        <v>390</v>
      </c>
      <c r="B69" s="18" t="s">
        <v>237</v>
      </c>
      <c r="C69" s="115">
        <f t="shared" si="11"/>
        <v>4386353980</v>
      </c>
      <c r="D69" s="257">
        <f t="shared" ref="D69:I69" si="20">+D11+D20+D27+D34+D41+D53+D59+D64</f>
        <v>3751745017</v>
      </c>
      <c r="E69" s="115">
        <f t="shared" si="20"/>
        <v>66232861</v>
      </c>
      <c r="F69" s="115">
        <f t="shared" si="20"/>
        <v>10122756</v>
      </c>
      <c r="G69" s="115">
        <f t="shared" si="20"/>
        <v>27134400</v>
      </c>
      <c r="H69" s="115">
        <f t="shared" si="20"/>
        <v>1740585</v>
      </c>
      <c r="I69" s="115">
        <f t="shared" si="20"/>
        <v>529378361</v>
      </c>
      <c r="K69" s="317">
        <f>'2. sz.mell. '!C69+'3. sz.mell.'!C69+'4. sz.mell. '!C69+'5. sz.mell.'!C69</f>
        <v>4386353980</v>
      </c>
      <c r="L69" s="317">
        <f t="shared" si="12"/>
        <v>0</v>
      </c>
    </row>
    <row r="70" spans="1:12" s="179" customFormat="1" ht="12.15" customHeight="1" thickBot="1" x14ac:dyDescent="0.3">
      <c r="A70" s="234" t="s">
        <v>238</v>
      </c>
      <c r="B70" s="105" t="s">
        <v>239</v>
      </c>
      <c r="C70" s="115">
        <f t="shared" si="11"/>
        <v>1100000000</v>
      </c>
      <c r="D70" s="255">
        <f t="shared" ref="D70:I70" si="21">SUM(D71:D73)</f>
        <v>1100000000</v>
      </c>
      <c r="E70" s="110">
        <f t="shared" si="21"/>
        <v>0</v>
      </c>
      <c r="F70" s="110">
        <f t="shared" si="21"/>
        <v>0</v>
      </c>
      <c r="G70" s="110">
        <f t="shared" si="21"/>
        <v>0</v>
      </c>
      <c r="H70" s="110">
        <f t="shared" si="21"/>
        <v>0</v>
      </c>
      <c r="I70" s="110">
        <f t="shared" si="21"/>
        <v>0</v>
      </c>
      <c r="K70" s="317">
        <f>'2. sz.mell. '!C70+'3. sz.mell.'!C70+'4. sz.mell. '!C70+'5. sz.mell.'!C70</f>
        <v>1100000000</v>
      </c>
      <c r="L70" s="317">
        <f t="shared" si="12"/>
        <v>0</v>
      </c>
    </row>
    <row r="71" spans="1:12" s="179" customFormat="1" ht="12.15" customHeight="1" thickBot="1" x14ac:dyDescent="0.3">
      <c r="A71" s="12" t="s">
        <v>270</v>
      </c>
      <c r="B71" s="180" t="s">
        <v>240</v>
      </c>
      <c r="C71" s="383">
        <f t="shared" si="11"/>
        <v>0</v>
      </c>
      <c r="D71" s="246"/>
      <c r="E71" s="114"/>
      <c r="F71" s="114"/>
      <c r="G71" s="114"/>
      <c r="H71" s="114"/>
      <c r="I71" s="114"/>
      <c r="K71" s="317">
        <f>'2. sz.mell. '!C71+'3. sz.mell.'!C71+'4. sz.mell. '!C71+'5. sz.mell.'!C71</f>
        <v>0</v>
      </c>
      <c r="L71" s="318">
        <f t="shared" si="12"/>
        <v>0</v>
      </c>
    </row>
    <row r="72" spans="1:12" s="179" customFormat="1" ht="12.15" customHeight="1" thickBot="1" x14ac:dyDescent="0.3">
      <c r="A72" s="11" t="s">
        <v>279</v>
      </c>
      <c r="B72" s="181" t="s">
        <v>241</v>
      </c>
      <c r="C72" s="274">
        <f t="shared" si="11"/>
        <v>1100000000</v>
      </c>
      <c r="D72" s="246">
        <v>1100000000</v>
      </c>
      <c r="E72" s="114"/>
      <c r="F72" s="114"/>
      <c r="G72" s="114"/>
      <c r="H72" s="114"/>
      <c r="I72" s="114"/>
      <c r="K72" s="317">
        <f>'2. sz.mell. '!C72+'3. sz.mell.'!C72+'4. sz.mell. '!C72+'5. sz.mell.'!C72</f>
        <v>1100000000</v>
      </c>
      <c r="L72" s="319">
        <f t="shared" si="12"/>
        <v>0</v>
      </c>
    </row>
    <row r="73" spans="1:12" s="179" customFormat="1" ht="12.15" customHeight="1" thickBot="1" x14ac:dyDescent="0.3">
      <c r="A73" s="13" t="s">
        <v>280</v>
      </c>
      <c r="B73" s="235" t="s">
        <v>391</v>
      </c>
      <c r="C73" s="384">
        <f t="shared" si="11"/>
        <v>0</v>
      </c>
      <c r="D73" s="246"/>
      <c r="E73" s="114"/>
      <c r="F73" s="114"/>
      <c r="G73" s="114"/>
      <c r="H73" s="114"/>
      <c r="I73" s="114"/>
      <c r="K73" s="317">
        <f>'2. sz.mell. '!C73+'3. sz.mell.'!C73+'4. sz.mell. '!C73+'5. sz.mell.'!C73</f>
        <v>0</v>
      </c>
      <c r="L73" s="320">
        <f t="shared" si="12"/>
        <v>0</v>
      </c>
    </row>
    <row r="74" spans="1:12" s="179" customFormat="1" ht="12.15" customHeight="1" thickBot="1" x14ac:dyDescent="0.3">
      <c r="A74" s="234" t="s">
        <v>243</v>
      </c>
      <c r="B74" s="105" t="s">
        <v>244</v>
      </c>
      <c r="C74" s="115">
        <f t="shared" si="11"/>
        <v>0</v>
      </c>
      <c r="D74" s="255">
        <f t="shared" ref="D74:I74" si="22">SUM(D75:D78)</f>
        <v>0</v>
      </c>
      <c r="E74" s="110">
        <f t="shared" si="22"/>
        <v>0</v>
      </c>
      <c r="F74" s="110">
        <f t="shared" si="22"/>
        <v>0</v>
      </c>
      <c r="G74" s="110">
        <f t="shared" si="22"/>
        <v>0</v>
      </c>
      <c r="H74" s="110">
        <f t="shared" si="22"/>
        <v>0</v>
      </c>
      <c r="I74" s="110">
        <f t="shared" si="22"/>
        <v>0</v>
      </c>
      <c r="K74" s="317">
        <f>'2. sz.mell. '!C74+'3. sz.mell.'!C74+'4. sz.mell. '!C74+'5. sz.mell.'!C74</f>
        <v>0</v>
      </c>
      <c r="L74" s="317">
        <f t="shared" si="12"/>
        <v>0</v>
      </c>
    </row>
    <row r="75" spans="1:12" s="179" customFormat="1" ht="12.15" customHeight="1" thickBot="1" x14ac:dyDescent="0.3">
      <c r="A75" s="12" t="s">
        <v>112</v>
      </c>
      <c r="B75" s="180" t="s">
        <v>245</v>
      </c>
      <c r="C75" s="383">
        <f t="shared" ref="C75:C94" si="23">SUM(D75:I75)</f>
        <v>0</v>
      </c>
      <c r="D75" s="246"/>
      <c r="E75" s="114"/>
      <c r="F75" s="114"/>
      <c r="G75" s="114"/>
      <c r="H75" s="114"/>
      <c r="I75" s="114"/>
      <c r="K75" s="317">
        <f>'2. sz.mell. '!C75+'3. sz.mell.'!C75+'4. sz.mell. '!C75+'5. sz.mell.'!C75</f>
        <v>0</v>
      </c>
      <c r="L75" s="318">
        <f t="shared" ref="L75:L94" si="24">C75-K75</f>
        <v>0</v>
      </c>
    </row>
    <row r="76" spans="1:12" s="179" customFormat="1" ht="12.15" customHeight="1" thickBot="1" x14ac:dyDescent="0.3">
      <c r="A76" s="11" t="s">
        <v>113</v>
      </c>
      <c r="B76" s="181" t="s">
        <v>719</v>
      </c>
      <c r="C76" s="274">
        <f t="shared" si="23"/>
        <v>0</v>
      </c>
      <c r="D76" s="246"/>
      <c r="E76" s="114"/>
      <c r="F76" s="114"/>
      <c r="G76" s="114"/>
      <c r="H76" s="114"/>
      <c r="I76" s="114"/>
      <c r="K76" s="317">
        <f>'2. sz.mell. '!C76+'3. sz.mell.'!C76+'4. sz.mell. '!C76+'5. sz.mell.'!C76</f>
        <v>0</v>
      </c>
      <c r="L76" s="319">
        <f t="shared" si="24"/>
        <v>0</v>
      </c>
    </row>
    <row r="77" spans="1:12" s="179" customFormat="1" ht="12.15" customHeight="1" thickBot="1" x14ac:dyDescent="0.3">
      <c r="A77" s="11" t="s">
        <v>271</v>
      </c>
      <c r="B77" s="181" t="s">
        <v>247</v>
      </c>
      <c r="C77" s="274">
        <f t="shared" si="23"/>
        <v>0</v>
      </c>
      <c r="D77" s="246"/>
      <c r="E77" s="114"/>
      <c r="F77" s="114"/>
      <c r="G77" s="114"/>
      <c r="H77" s="114"/>
      <c r="I77" s="114"/>
      <c r="K77" s="317">
        <f>'2. sz.mell. '!C77+'3. sz.mell.'!C77+'4. sz.mell. '!C77+'5. sz.mell.'!C77</f>
        <v>0</v>
      </c>
      <c r="L77" s="319">
        <f t="shared" si="24"/>
        <v>0</v>
      </c>
    </row>
    <row r="78" spans="1:12" s="179" customFormat="1" ht="12.15" customHeight="1" thickBot="1" x14ac:dyDescent="0.3">
      <c r="A78" s="13" t="s">
        <v>272</v>
      </c>
      <c r="B78" s="107" t="s">
        <v>720</v>
      </c>
      <c r="C78" s="384">
        <f t="shared" si="23"/>
        <v>0</v>
      </c>
      <c r="D78" s="246"/>
      <c r="E78" s="114"/>
      <c r="F78" s="114"/>
      <c r="G78" s="114"/>
      <c r="H78" s="114"/>
      <c r="I78" s="114"/>
      <c r="K78" s="317">
        <f>'2. sz.mell. '!C78+'3. sz.mell.'!C78+'4. sz.mell. '!C78+'5. sz.mell.'!C78</f>
        <v>0</v>
      </c>
      <c r="L78" s="320">
        <f t="shared" si="24"/>
        <v>0</v>
      </c>
    </row>
    <row r="79" spans="1:12" s="179" customFormat="1" ht="12.15" customHeight="1" thickBot="1" x14ac:dyDescent="0.3">
      <c r="A79" s="234" t="s">
        <v>249</v>
      </c>
      <c r="B79" s="105" t="s">
        <v>250</v>
      </c>
      <c r="C79" s="115">
        <f t="shared" si="23"/>
        <v>1536973511</v>
      </c>
      <c r="D79" s="255">
        <f t="shared" ref="D79:H79" si="25">SUM(D80:D81)</f>
        <v>1444475676</v>
      </c>
      <c r="E79" s="110">
        <f t="shared" si="25"/>
        <v>2347904</v>
      </c>
      <c r="F79" s="110">
        <f t="shared" si="25"/>
        <v>189372</v>
      </c>
      <c r="G79" s="110">
        <f t="shared" si="25"/>
        <v>291209</v>
      </c>
      <c r="H79" s="110">
        <f t="shared" si="25"/>
        <v>302494</v>
      </c>
      <c r="I79" s="110">
        <f t="shared" ref="I79" si="26">SUM(I80:I81)</f>
        <v>89366856</v>
      </c>
      <c r="K79" s="317">
        <f>'2. sz.mell. '!C79+'3. sz.mell.'!C79+'4. sz.mell. '!C79+'5. sz.mell.'!C79</f>
        <v>1536973511</v>
      </c>
      <c r="L79" s="317">
        <f t="shared" si="24"/>
        <v>0</v>
      </c>
    </row>
    <row r="80" spans="1:12" s="179" customFormat="1" ht="12.15" customHeight="1" thickBot="1" x14ac:dyDescent="0.3">
      <c r="A80" s="12" t="s">
        <v>273</v>
      </c>
      <c r="B80" s="180" t="s">
        <v>251</v>
      </c>
      <c r="C80" s="383">
        <f t="shared" si="23"/>
        <v>1536973511</v>
      </c>
      <c r="D80" s="246">
        <f>1453279019-8803343</f>
        <v>1444475676</v>
      </c>
      <c r="E80" s="114">
        <v>2347904</v>
      </c>
      <c r="F80" s="114">
        <v>189372</v>
      </c>
      <c r="G80" s="114">
        <v>291209</v>
      </c>
      <c r="H80" s="114">
        <v>302494</v>
      </c>
      <c r="I80" s="114">
        <v>89366856</v>
      </c>
      <c r="K80" s="317">
        <f>'2. sz.mell. '!C80+'3. sz.mell.'!C80+'4. sz.mell. '!C80+'5. sz.mell.'!C80</f>
        <v>1536973511</v>
      </c>
      <c r="L80" s="318">
        <f t="shared" si="24"/>
        <v>0</v>
      </c>
    </row>
    <row r="81" spans="1:12" s="179" customFormat="1" ht="12.15" customHeight="1" thickBot="1" x14ac:dyDescent="0.3">
      <c r="A81" s="13" t="s">
        <v>274</v>
      </c>
      <c r="B81" s="107" t="s">
        <v>252</v>
      </c>
      <c r="C81" s="384">
        <f t="shared" si="23"/>
        <v>0</v>
      </c>
      <c r="D81" s="246"/>
      <c r="E81" s="114"/>
      <c r="F81" s="114"/>
      <c r="G81" s="114"/>
      <c r="H81" s="114"/>
      <c r="I81" s="114"/>
      <c r="K81" s="317">
        <f>'2. sz.mell. '!C81+'3. sz.mell.'!C81+'4. sz.mell. '!C81+'5. sz.mell.'!C81</f>
        <v>0</v>
      </c>
      <c r="L81" s="320">
        <f t="shared" si="24"/>
        <v>0</v>
      </c>
    </row>
    <row r="82" spans="1:12" s="179" customFormat="1" ht="12.15" customHeight="1" thickBot="1" x14ac:dyDescent="0.3">
      <c r="A82" s="234" t="s">
        <v>253</v>
      </c>
      <c r="B82" s="105" t="s">
        <v>254</v>
      </c>
      <c r="C82" s="115">
        <f t="shared" si="23"/>
        <v>67733205</v>
      </c>
      <c r="D82" s="255">
        <f t="shared" ref="D82:H82" si="27">SUM(D83:D85)</f>
        <v>67733205</v>
      </c>
      <c r="E82" s="110">
        <f t="shared" si="27"/>
        <v>0</v>
      </c>
      <c r="F82" s="110">
        <f t="shared" si="27"/>
        <v>0</v>
      </c>
      <c r="G82" s="110">
        <f t="shared" si="27"/>
        <v>0</v>
      </c>
      <c r="H82" s="110">
        <f t="shared" si="27"/>
        <v>0</v>
      </c>
      <c r="I82" s="110">
        <f t="shared" ref="I82" si="28">SUM(I83:I85)</f>
        <v>0</v>
      </c>
      <c r="K82" s="317">
        <f>'2. sz.mell. '!C82+'3. sz.mell.'!C82+'4. sz.mell. '!C82+'5. sz.mell.'!C82</f>
        <v>67733205</v>
      </c>
      <c r="L82" s="317">
        <f t="shared" si="24"/>
        <v>0</v>
      </c>
    </row>
    <row r="83" spans="1:12" s="179" customFormat="1" ht="12.15" customHeight="1" thickBot="1" x14ac:dyDescent="0.3">
      <c r="A83" s="12" t="s">
        <v>275</v>
      </c>
      <c r="B83" s="180" t="s">
        <v>255</v>
      </c>
      <c r="C83" s="383">
        <f t="shared" si="23"/>
        <v>67733205</v>
      </c>
      <c r="D83" s="246">
        <v>67733205</v>
      </c>
      <c r="E83" s="114"/>
      <c r="F83" s="114"/>
      <c r="G83" s="114"/>
      <c r="H83" s="114"/>
      <c r="I83" s="114"/>
      <c r="K83" s="317">
        <f>'2. sz.mell. '!C83+'3. sz.mell.'!C83+'4. sz.mell. '!C83+'5. sz.mell.'!C83</f>
        <v>67733205</v>
      </c>
      <c r="L83" s="318">
        <f t="shared" si="24"/>
        <v>0</v>
      </c>
    </row>
    <row r="84" spans="1:12" s="179" customFormat="1" ht="12.15" customHeight="1" thickBot="1" x14ac:dyDescent="0.3">
      <c r="A84" s="11" t="s">
        <v>276</v>
      </c>
      <c r="B84" s="181" t="s">
        <v>256</v>
      </c>
      <c r="C84" s="274">
        <f t="shared" si="23"/>
        <v>0</v>
      </c>
      <c r="D84" s="246"/>
      <c r="E84" s="114"/>
      <c r="F84" s="114"/>
      <c r="G84" s="114"/>
      <c r="H84" s="114"/>
      <c r="I84" s="114"/>
      <c r="K84" s="317">
        <f>'2. sz.mell. '!C84+'3. sz.mell.'!C84+'4. sz.mell. '!C84+'5. sz.mell.'!C84</f>
        <v>0</v>
      </c>
      <c r="L84" s="319">
        <f t="shared" si="24"/>
        <v>0</v>
      </c>
    </row>
    <row r="85" spans="1:12" s="179" customFormat="1" ht="12.15" customHeight="1" thickBot="1" x14ac:dyDescent="0.3">
      <c r="A85" s="13" t="s">
        <v>277</v>
      </c>
      <c r="B85" s="107" t="s">
        <v>721</v>
      </c>
      <c r="C85" s="384">
        <f t="shared" si="23"/>
        <v>0</v>
      </c>
      <c r="D85" s="246"/>
      <c r="E85" s="114"/>
      <c r="F85" s="114"/>
      <c r="G85" s="114"/>
      <c r="H85" s="114"/>
      <c r="I85" s="114"/>
      <c r="K85" s="317">
        <f>'2. sz.mell. '!C85+'3. sz.mell.'!C85+'4. sz.mell. '!C85+'5. sz.mell.'!C85</f>
        <v>0</v>
      </c>
      <c r="L85" s="320">
        <f t="shared" si="24"/>
        <v>0</v>
      </c>
    </row>
    <row r="86" spans="1:12" s="179" customFormat="1" ht="12.15" customHeight="1" thickBot="1" x14ac:dyDescent="0.3">
      <c r="A86" s="234" t="s">
        <v>258</v>
      </c>
      <c r="B86" s="105" t="s">
        <v>278</v>
      </c>
      <c r="C86" s="115">
        <f t="shared" si="23"/>
        <v>0</v>
      </c>
      <c r="D86" s="255">
        <f t="shared" ref="D86:H86" si="29">SUM(D87:D90)</f>
        <v>0</v>
      </c>
      <c r="E86" s="110">
        <f t="shared" si="29"/>
        <v>0</v>
      </c>
      <c r="F86" s="110">
        <f t="shared" si="29"/>
        <v>0</v>
      </c>
      <c r="G86" s="110">
        <f t="shared" si="29"/>
        <v>0</v>
      </c>
      <c r="H86" s="110">
        <f t="shared" si="29"/>
        <v>0</v>
      </c>
      <c r="I86" s="110">
        <f t="shared" ref="I86" si="30">SUM(I87:I90)</f>
        <v>0</v>
      </c>
      <c r="K86" s="317">
        <f>'2. sz.mell. '!C86+'3. sz.mell.'!C86+'4. sz.mell. '!C86+'5. sz.mell.'!C86</f>
        <v>0</v>
      </c>
      <c r="L86" s="317">
        <f t="shared" si="24"/>
        <v>0</v>
      </c>
    </row>
    <row r="87" spans="1:12" s="179" customFormat="1" ht="12.15" customHeight="1" thickBot="1" x14ac:dyDescent="0.3">
      <c r="A87" s="184" t="s">
        <v>259</v>
      </c>
      <c r="B87" s="180" t="s">
        <v>260</v>
      </c>
      <c r="C87" s="383">
        <f t="shared" si="23"/>
        <v>0</v>
      </c>
      <c r="D87" s="246"/>
      <c r="E87" s="114"/>
      <c r="F87" s="114"/>
      <c r="G87" s="114"/>
      <c r="H87" s="114"/>
      <c r="I87" s="114"/>
      <c r="K87" s="317">
        <f>'2. sz.mell. '!C87+'3. sz.mell.'!C87+'4. sz.mell. '!C87+'5. sz.mell.'!C87</f>
        <v>0</v>
      </c>
      <c r="L87" s="318">
        <f t="shared" si="24"/>
        <v>0</v>
      </c>
    </row>
    <row r="88" spans="1:12" s="179" customFormat="1" ht="12.15" customHeight="1" thickBot="1" x14ac:dyDescent="0.3">
      <c r="A88" s="185" t="s">
        <v>261</v>
      </c>
      <c r="B88" s="181" t="s">
        <v>262</v>
      </c>
      <c r="C88" s="274">
        <f t="shared" si="23"/>
        <v>0</v>
      </c>
      <c r="D88" s="246"/>
      <c r="E88" s="114"/>
      <c r="F88" s="114"/>
      <c r="G88" s="114"/>
      <c r="H88" s="114"/>
      <c r="I88" s="114"/>
      <c r="K88" s="317">
        <f>'2. sz.mell. '!C88+'3. sz.mell.'!C88+'4. sz.mell. '!C88+'5. sz.mell.'!C88</f>
        <v>0</v>
      </c>
      <c r="L88" s="319">
        <f t="shared" si="24"/>
        <v>0</v>
      </c>
    </row>
    <row r="89" spans="1:12" s="179" customFormat="1" ht="12.15" customHeight="1" thickBot="1" x14ac:dyDescent="0.3">
      <c r="A89" s="185" t="s">
        <v>263</v>
      </c>
      <c r="B89" s="181" t="s">
        <v>264</v>
      </c>
      <c r="C89" s="274">
        <f t="shared" si="23"/>
        <v>0</v>
      </c>
      <c r="D89" s="246"/>
      <c r="E89" s="114"/>
      <c r="F89" s="114"/>
      <c r="G89" s="114"/>
      <c r="H89" s="114"/>
      <c r="I89" s="114"/>
      <c r="K89" s="317">
        <f>'2. sz.mell. '!C89+'3. sz.mell.'!C89+'4. sz.mell. '!C89+'5. sz.mell.'!C89</f>
        <v>0</v>
      </c>
      <c r="L89" s="319">
        <f t="shared" si="24"/>
        <v>0</v>
      </c>
    </row>
    <row r="90" spans="1:12" s="179" customFormat="1" ht="12.15" customHeight="1" thickBot="1" x14ac:dyDescent="0.3">
      <c r="A90" s="186" t="s">
        <v>265</v>
      </c>
      <c r="B90" s="107" t="s">
        <v>266</v>
      </c>
      <c r="C90" s="384">
        <f t="shared" si="23"/>
        <v>0</v>
      </c>
      <c r="D90" s="246"/>
      <c r="E90" s="114"/>
      <c r="F90" s="114"/>
      <c r="G90" s="114"/>
      <c r="H90" s="114"/>
      <c r="I90" s="114"/>
      <c r="K90" s="317">
        <f>'2. sz.mell. '!C90+'3. sz.mell.'!C90+'4. sz.mell. '!C90+'5. sz.mell.'!C90</f>
        <v>0</v>
      </c>
      <c r="L90" s="320">
        <f t="shared" si="24"/>
        <v>0</v>
      </c>
    </row>
    <row r="91" spans="1:12" s="179" customFormat="1" ht="12.15" customHeight="1" thickBot="1" x14ac:dyDescent="0.3">
      <c r="A91" s="234" t="s">
        <v>267</v>
      </c>
      <c r="B91" s="105" t="s">
        <v>392</v>
      </c>
      <c r="C91" s="115">
        <f t="shared" si="23"/>
        <v>0</v>
      </c>
      <c r="D91" s="258"/>
      <c r="E91" s="215"/>
      <c r="F91" s="215"/>
      <c r="G91" s="215"/>
      <c r="H91" s="215"/>
      <c r="I91" s="215"/>
      <c r="K91" s="317">
        <f>'2. sz.mell. '!C91+'3. sz.mell.'!C91+'4. sz.mell. '!C91+'5. sz.mell.'!C91</f>
        <v>0</v>
      </c>
      <c r="L91" s="317">
        <f t="shared" si="24"/>
        <v>0</v>
      </c>
    </row>
    <row r="92" spans="1:12" s="179" customFormat="1" ht="13.65" customHeight="1" thickBot="1" x14ac:dyDescent="0.3">
      <c r="A92" s="234" t="s">
        <v>269</v>
      </c>
      <c r="B92" s="105" t="s">
        <v>268</v>
      </c>
      <c r="C92" s="115">
        <f t="shared" si="23"/>
        <v>0</v>
      </c>
      <c r="D92" s="258"/>
      <c r="E92" s="215"/>
      <c r="F92" s="215"/>
      <c r="G92" s="215"/>
      <c r="H92" s="215"/>
      <c r="I92" s="215"/>
      <c r="K92" s="317">
        <f>'2. sz.mell. '!C92+'3. sz.mell.'!C92+'4. sz.mell. '!C92+'5. sz.mell.'!C92</f>
        <v>0</v>
      </c>
      <c r="L92" s="317">
        <f t="shared" si="24"/>
        <v>0</v>
      </c>
    </row>
    <row r="93" spans="1:12" s="179" customFormat="1" ht="15.75" customHeight="1" thickBot="1" x14ac:dyDescent="0.3">
      <c r="A93" s="234" t="s">
        <v>281</v>
      </c>
      <c r="B93" s="187" t="s">
        <v>393</v>
      </c>
      <c r="C93" s="115">
        <f t="shared" si="23"/>
        <v>2704706716</v>
      </c>
      <c r="D93" s="257">
        <f t="shared" ref="D93:I93" si="31">+D70+D74+D79+D82+D86+D92+D91</f>
        <v>2612208881</v>
      </c>
      <c r="E93" s="115">
        <f t="shared" si="31"/>
        <v>2347904</v>
      </c>
      <c r="F93" s="115">
        <f t="shared" si="31"/>
        <v>189372</v>
      </c>
      <c r="G93" s="115">
        <f t="shared" si="31"/>
        <v>291209</v>
      </c>
      <c r="H93" s="115">
        <f t="shared" si="31"/>
        <v>302494</v>
      </c>
      <c r="I93" s="115">
        <f t="shared" si="31"/>
        <v>89366856</v>
      </c>
      <c r="K93" s="317">
        <f>'2. sz.mell. '!C93+'3. sz.mell.'!C93+'4. sz.mell. '!C93+'5. sz.mell.'!C93</f>
        <v>2704706716</v>
      </c>
      <c r="L93" s="317">
        <f t="shared" si="24"/>
        <v>0</v>
      </c>
    </row>
    <row r="94" spans="1:12" s="179" customFormat="1" ht="16.5" customHeight="1" thickBot="1" x14ac:dyDescent="0.3">
      <c r="A94" s="236" t="s">
        <v>394</v>
      </c>
      <c r="B94" s="188" t="s">
        <v>395</v>
      </c>
      <c r="C94" s="115">
        <f t="shared" si="23"/>
        <v>7091060696</v>
      </c>
      <c r="D94" s="257">
        <f t="shared" ref="D94:I94" si="32">+D69+D93</f>
        <v>6363953898</v>
      </c>
      <c r="E94" s="115">
        <f t="shared" si="32"/>
        <v>68580765</v>
      </c>
      <c r="F94" s="115">
        <f t="shared" si="32"/>
        <v>10312128</v>
      </c>
      <c r="G94" s="115">
        <f t="shared" si="32"/>
        <v>27425609</v>
      </c>
      <c r="H94" s="115">
        <f t="shared" si="32"/>
        <v>2043079</v>
      </c>
      <c r="I94" s="115">
        <f t="shared" si="32"/>
        <v>618745217</v>
      </c>
      <c r="K94" s="317">
        <f>'2. sz.mell. '!C94+'3. sz.mell.'!C94+'4. sz.mell. '!C94+'5. sz.mell.'!C94</f>
        <v>7091060696</v>
      </c>
      <c r="L94" s="317">
        <f t="shared" si="24"/>
        <v>0</v>
      </c>
    </row>
    <row r="95" spans="1:12" ht="16.5" customHeight="1" x14ac:dyDescent="0.3">
      <c r="A95" s="1283" t="s">
        <v>44</v>
      </c>
      <c r="B95" s="1283"/>
      <c r="C95" s="1283"/>
      <c r="D95" s="281"/>
      <c r="K95" s="1045"/>
      <c r="L95" s="315"/>
    </row>
    <row r="96" spans="1:12" ht="16.5" customHeight="1" thickBot="1" x14ac:dyDescent="0.35">
      <c r="A96" s="1284" t="s">
        <v>115</v>
      </c>
      <c r="B96" s="1284"/>
      <c r="C96" s="704" t="s">
        <v>483</v>
      </c>
      <c r="K96" s="1046"/>
      <c r="L96" s="315"/>
    </row>
    <row r="97" spans="1:14" ht="38.1" customHeight="1" thickBot="1" x14ac:dyDescent="0.35">
      <c r="A97" s="20" t="s">
        <v>63</v>
      </c>
      <c r="B97" s="21" t="s">
        <v>45</v>
      </c>
      <c r="C97" s="473" t="str">
        <f>+C9</f>
        <v>2024. évi előirányzat</v>
      </c>
      <c r="D97" s="1075" t="str">
        <f t="shared" ref="D97:H97" si="33">D9</f>
        <v>Önk</v>
      </c>
      <c r="E97" s="1075" t="str">
        <f t="shared" si="33"/>
        <v>PH</v>
      </c>
      <c r="F97" s="1075" t="str">
        <f t="shared" si="33"/>
        <v>Óvoda</v>
      </c>
      <c r="G97" s="1075" t="str">
        <f t="shared" si="33"/>
        <v>EKIK</v>
      </c>
      <c r="H97" s="1075" t="str">
        <f t="shared" si="33"/>
        <v>Bölcsőde</v>
      </c>
      <c r="I97" s="1075" t="str">
        <f t="shared" ref="I97" si="34">I9</f>
        <v>Kornisné</v>
      </c>
      <c r="K97" s="1046"/>
      <c r="L97" s="315"/>
    </row>
    <row r="98" spans="1:14" s="178" customFormat="1" ht="12.15" customHeight="1" thickBot="1" x14ac:dyDescent="0.25">
      <c r="A98" s="25" t="s">
        <v>382</v>
      </c>
      <c r="B98" s="26" t="s">
        <v>383</v>
      </c>
      <c r="C98" s="747" t="s">
        <v>384</v>
      </c>
      <c r="K98" s="1047"/>
      <c r="L98" s="315"/>
    </row>
    <row r="99" spans="1:14" ht="12.15" customHeight="1" thickBot="1" x14ac:dyDescent="0.35">
      <c r="A99" s="19" t="s">
        <v>16</v>
      </c>
      <c r="B99" s="23" t="s">
        <v>433</v>
      </c>
      <c r="C99" s="748">
        <f t="shared" ref="C99:C130" si="35">SUM(D99:I99)</f>
        <v>4315154816</v>
      </c>
      <c r="D99" s="261">
        <f>+D100+D101+D102+D103+D104+D117</f>
        <v>998245625</v>
      </c>
      <c r="E99" s="109">
        <f>+E100+E101+E102+E103+E104+E117</f>
        <v>716837976</v>
      </c>
      <c r="F99" s="265">
        <f t="shared" ref="F99:I99" si="36">F100+F101+F102+F103+F104+F117</f>
        <v>587674566</v>
      </c>
      <c r="G99" s="265">
        <f t="shared" si="36"/>
        <v>252669923</v>
      </c>
      <c r="H99" s="265">
        <f t="shared" si="36"/>
        <v>194800799</v>
      </c>
      <c r="I99" s="265">
        <f t="shared" si="36"/>
        <v>1564925927</v>
      </c>
      <c r="K99" s="317">
        <f>'2. sz.mell. '!C99+'3. sz.mell.'!C99+'4. sz.mell. '!C100+'5. sz.mell.'!C100</f>
        <v>4315154816</v>
      </c>
      <c r="L99" s="317">
        <f t="shared" ref="L99:L130" si="37">C99-K99</f>
        <v>0</v>
      </c>
      <c r="M99" s="167">
        <f>'14. sz. mell. Önk.'!C92+'17. sz. mell. PH.'!C45+'21. sz. mell TEOI'!C42+'24. sz. mell EKIK'!C45+'27. sz. mell Kornisné Kp.'!C43+'31. sz. mell TIB  '!C43</f>
        <v>4315154816</v>
      </c>
      <c r="N99" s="1048">
        <f>K99-M99</f>
        <v>0</v>
      </c>
    </row>
    <row r="100" spans="1:14" ht="12.15" customHeight="1" thickBot="1" x14ac:dyDescent="0.35">
      <c r="A100" s="14" t="s">
        <v>85</v>
      </c>
      <c r="B100" s="7" t="s">
        <v>46</v>
      </c>
      <c r="C100" s="1248">
        <f t="shared" si="35"/>
        <v>1906551416</v>
      </c>
      <c r="D100" s="640">
        <f>87891064+166233</f>
        <v>88057297</v>
      </c>
      <c r="E100" s="251">
        <v>280273727</v>
      </c>
      <c r="F100" s="251">
        <v>409187149</v>
      </c>
      <c r="G100" s="251">
        <v>102620682</v>
      </c>
      <c r="H100" s="251">
        <v>146096955</v>
      </c>
      <c r="I100" s="34">
        <v>880315606</v>
      </c>
      <c r="K100" s="317">
        <f>'2. sz.mell. '!C100+'3. sz.mell.'!C100+'4. sz.mell. '!C101+'5. sz.mell.'!C101</f>
        <v>1906551416</v>
      </c>
      <c r="L100" s="318">
        <f t="shared" si="37"/>
        <v>0</v>
      </c>
      <c r="M100" s="167">
        <f>'14. sz. mell. Önk.'!C93+'17. sz. mell. PH.'!C46+'21. sz. mell TEOI'!C43+'24. sz. mell EKIK'!C46+'27. sz. mell Kornisné Kp.'!C44+'31. sz. mell TIB  '!C44</f>
        <v>1906551416</v>
      </c>
      <c r="N100" s="1048">
        <f t="shared" ref="N100:N102" si="38">K100-M100</f>
        <v>0</v>
      </c>
    </row>
    <row r="101" spans="1:14" ht="12.15" customHeight="1" thickBot="1" x14ac:dyDescent="0.35">
      <c r="A101" s="11" t="s">
        <v>86</v>
      </c>
      <c r="B101" s="5" t="s">
        <v>134</v>
      </c>
      <c r="C101" s="1248">
        <f t="shared" si="35"/>
        <v>254857020</v>
      </c>
      <c r="D101" s="246">
        <f>12286102+17516</f>
        <v>12303618</v>
      </c>
      <c r="E101" s="114">
        <v>42621838</v>
      </c>
      <c r="F101" s="114">
        <v>51190551</v>
      </c>
      <c r="G101" s="114">
        <v>14528745</v>
      </c>
      <c r="H101" s="114">
        <v>19261474</v>
      </c>
      <c r="I101" s="36">
        <v>114950794</v>
      </c>
      <c r="K101" s="317">
        <f>'2. sz.mell. '!C101+'3. sz.mell.'!C101+'4. sz.mell. '!C102+'5. sz.mell.'!C102</f>
        <v>254857020</v>
      </c>
      <c r="L101" s="319">
        <f t="shared" si="37"/>
        <v>0</v>
      </c>
      <c r="M101" s="167">
        <f>'14. sz. mell. Önk.'!C94+'17. sz. mell. PH.'!C47+'21. sz. mell TEOI'!C44+'24. sz. mell EKIK'!C47+'27. sz. mell Kornisné Kp.'!C45+'31. sz. mell TIB  '!C45</f>
        <v>254857020</v>
      </c>
      <c r="N101" s="1048">
        <f t="shared" si="38"/>
        <v>0</v>
      </c>
    </row>
    <row r="102" spans="1:14" ht="12.15" customHeight="1" thickBot="1" x14ac:dyDescent="0.35">
      <c r="A102" s="11" t="s">
        <v>87</v>
      </c>
      <c r="B102" s="5" t="s">
        <v>110</v>
      </c>
      <c r="C102" s="1248">
        <f t="shared" si="35"/>
        <v>1596910262</v>
      </c>
      <c r="D102" s="249">
        <f>445823434+30000+49999+19545167</f>
        <v>465448600</v>
      </c>
      <c r="E102" s="170">
        <v>393942411</v>
      </c>
      <c r="F102" s="114">
        <v>127296866</v>
      </c>
      <c r="G102" s="114">
        <v>135519496</v>
      </c>
      <c r="H102" s="114">
        <v>29442370</v>
      </c>
      <c r="I102" s="36">
        <v>445260519</v>
      </c>
      <c r="K102" s="317">
        <f>'2. sz.mell. '!C102+'3. sz.mell.'!C102+'4. sz.mell. '!C103+'5. sz.mell.'!C103</f>
        <v>1596910262</v>
      </c>
      <c r="L102" s="319">
        <f t="shared" si="37"/>
        <v>0</v>
      </c>
      <c r="M102" s="167">
        <f>'14. sz. mell. Önk.'!C95+'17. sz. mell. PH.'!C48+'21. sz. mell TEOI'!C45+'24. sz. mell EKIK'!C48+'27. sz. mell Kornisné Kp.'!C46+'31. sz. mell TIB  '!C46</f>
        <v>1596910262</v>
      </c>
      <c r="N102" s="1048">
        <f t="shared" si="38"/>
        <v>0</v>
      </c>
    </row>
    <row r="103" spans="1:14" ht="12.15" customHeight="1" thickBot="1" x14ac:dyDescent="0.35">
      <c r="A103" s="11" t="s">
        <v>88</v>
      </c>
      <c r="B103" s="5" t="s">
        <v>135</v>
      </c>
      <c r="C103" s="353">
        <f t="shared" si="35"/>
        <v>48800000</v>
      </c>
      <c r="D103" s="249">
        <v>48800000</v>
      </c>
      <c r="E103" s="170"/>
      <c r="F103" s="170"/>
      <c r="G103" s="170"/>
      <c r="H103" s="170"/>
      <c r="I103" s="170"/>
      <c r="K103" s="317">
        <f>'2. sz.mell. '!C103+'3. sz.mell.'!C103+'4. sz.mell. '!C104+'5. sz.mell.'!C104</f>
        <v>48800000</v>
      </c>
      <c r="L103" s="319">
        <f t="shared" si="37"/>
        <v>0</v>
      </c>
    </row>
    <row r="104" spans="1:14" ht="12.15" customHeight="1" thickBot="1" x14ac:dyDescent="0.35">
      <c r="A104" s="11" t="s">
        <v>99</v>
      </c>
      <c r="B104" s="4" t="s">
        <v>136</v>
      </c>
      <c r="C104" s="353">
        <f t="shared" si="35"/>
        <v>367647874</v>
      </c>
      <c r="D104" s="249">
        <f>SUM(D105:D116)</f>
        <v>243247866</v>
      </c>
      <c r="E104" s="249">
        <f>SUM(E105:E116)</f>
        <v>0</v>
      </c>
      <c r="F104" s="249">
        <f>SUM(F105:F116)</f>
        <v>0</v>
      </c>
      <c r="G104" s="249">
        <f>SUM(G105:G116)</f>
        <v>1000</v>
      </c>
      <c r="H104" s="249">
        <f>SUM(H105:H116)</f>
        <v>0</v>
      </c>
      <c r="I104" s="249">
        <f t="shared" ref="I104" si="39">SUM(I105:I116)</f>
        <v>124399008</v>
      </c>
      <c r="K104" s="317">
        <f>'2. sz.mell. '!C104+'3. sz.mell.'!C104+'4. sz.mell. '!C105+'5. sz.mell.'!C105</f>
        <v>367647874</v>
      </c>
      <c r="L104" s="319">
        <f t="shared" si="37"/>
        <v>0</v>
      </c>
    </row>
    <row r="105" spans="1:14" ht="12.15" customHeight="1" thickBot="1" x14ac:dyDescent="0.35">
      <c r="A105" s="11" t="s">
        <v>89</v>
      </c>
      <c r="B105" s="5" t="s">
        <v>396</v>
      </c>
      <c r="C105" s="1248">
        <f t="shared" si="35"/>
        <v>8730222</v>
      </c>
      <c r="D105" s="249">
        <v>8730222</v>
      </c>
      <c r="E105" s="170"/>
      <c r="F105" s="170"/>
      <c r="G105" s="170"/>
      <c r="H105" s="170"/>
      <c r="I105" s="170"/>
      <c r="K105" s="317">
        <f>'2. sz.mell. '!C105+'3. sz.mell.'!C105+'4. sz.mell. '!C106+'5. sz.mell.'!C106</f>
        <v>8730222</v>
      </c>
      <c r="L105" s="319">
        <f t="shared" si="37"/>
        <v>0</v>
      </c>
    </row>
    <row r="106" spans="1:14" ht="12.15" customHeight="1" thickBot="1" x14ac:dyDescent="0.35">
      <c r="A106" s="11" t="s">
        <v>90</v>
      </c>
      <c r="B106" s="60" t="s">
        <v>397</v>
      </c>
      <c r="C106" s="353">
        <f t="shared" si="35"/>
        <v>41408678</v>
      </c>
      <c r="D106" s="249">
        <v>41408678</v>
      </c>
      <c r="E106" s="170"/>
      <c r="F106" s="170"/>
      <c r="G106" s="170"/>
      <c r="H106" s="170"/>
      <c r="I106" s="170"/>
      <c r="K106" s="317">
        <f>'2. sz.mell. '!C106+'3. sz.mell.'!C106+'4. sz.mell. '!C107+'5. sz.mell.'!C107</f>
        <v>41408678</v>
      </c>
      <c r="L106" s="319">
        <f t="shared" si="37"/>
        <v>0</v>
      </c>
    </row>
    <row r="107" spans="1:14" ht="12.15" customHeight="1" thickBot="1" x14ac:dyDescent="0.35">
      <c r="A107" s="11" t="s">
        <v>100</v>
      </c>
      <c r="B107" s="60" t="s">
        <v>398</v>
      </c>
      <c r="C107" s="1248">
        <f t="shared" si="35"/>
        <v>2275535</v>
      </c>
      <c r="D107" s="249">
        <v>2275535</v>
      </c>
      <c r="E107" s="170"/>
      <c r="F107" s="170"/>
      <c r="G107" s="170"/>
      <c r="H107" s="170"/>
      <c r="I107" s="170"/>
      <c r="K107" s="317">
        <f>'2. sz.mell. '!C107+'3. sz.mell.'!C107+'4. sz.mell. '!C108+'5. sz.mell.'!C108</f>
        <v>2275535</v>
      </c>
      <c r="L107" s="319">
        <f t="shared" si="37"/>
        <v>0</v>
      </c>
    </row>
    <row r="108" spans="1:14" ht="12.15" customHeight="1" thickBot="1" x14ac:dyDescent="0.35">
      <c r="A108" s="11" t="s">
        <v>101</v>
      </c>
      <c r="B108" s="58" t="s">
        <v>284</v>
      </c>
      <c r="C108" s="353">
        <f t="shared" si="35"/>
        <v>0</v>
      </c>
      <c r="D108" s="249"/>
      <c r="E108" s="170"/>
      <c r="F108" s="170"/>
      <c r="G108" s="170"/>
      <c r="H108" s="170"/>
      <c r="I108" s="170"/>
      <c r="K108" s="317">
        <f>'2. sz.mell. '!C108+'3. sz.mell.'!C108+'4. sz.mell. '!C109+'5. sz.mell.'!C109</f>
        <v>0</v>
      </c>
      <c r="L108" s="319">
        <f t="shared" si="37"/>
        <v>0</v>
      </c>
    </row>
    <row r="109" spans="1:14" ht="12.15" customHeight="1" thickBot="1" x14ac:dyDescent="0.35">
      <c r="A109" s="11" t="s">
        <v>102</v>
      </c>
      <c r="B109" s="59" t="s">
        <v>285</v>
      </c>
      <c r="C109" s="353">
        <f t="shared" si="35"/>
        <v>0</v>
      </c>
      <c r="D109" s="249"/>
      <c r="E109" s="170"/>
      <c r="F109" s="170"/>
      <c r="G109" s="170"/>
      <c r="H109" s="170"/>
      <c r="I109" s="170"/>
      <c r="K109" s="317">
        <f>'2. sz.mell. '!C109+'3. sz.mell.'!C109+'4. sz.mell. '!C110+'5. sz.mell.'!C110</f>
        <v>0</v>
      </c>
      <c r="L109" s="319">
        <f t="shared" si="37"/>
        <v>0</v>
      </c>
    </row>
    <row r="110" spans="1:14" ht="12.15" customHeight="1" thickBot="1" x14ac:dyDescent="0.35">
      <c r="A110" s="11" t="s">
        <v>103</v>
      </c>
      <c r="B110" s="59" t="s">
        <v>286</v>
      </c>
      <c r="C110" s="353">
        <f t="shared" si="35"/>
        <v>0</v>
      </c>
      <c r="D110" s="249"/>
      <c r="E110" s="170"/>
      <c r="F110" s="170"/>
      <c r="G110" s="170"/>
      <c r="H110" s="170"/>
      <c r="I110" s="170"/>
      <c r="K110" s="317">
        <f>'2. sz.mell. '!C110+'3. sz.mell.'!C110+'4. sz.mell. '!C111+'5. sz.mell.'!C111</f>
        <v>0</v>
      </c>
      <c r="L110" s="319">
        <f t="shared" si="37"/>
        <v>0</v>
      </c>
    </row>
    <row r="111" spans="1:14" ht="12.15" customHeight="1" thickBot="1" x14ac:dyDescent="0.35">
      <c r="A111" s="11" t="s">
        <v>105</v>
      </c>
      <c r="B111" s="58" t="s">
        <v>287</v>
      </c>
      <c r="C111" s="1248">
        <f t="shared" si="35"/>
        <v>10324798</v>
      </c>
      <c r="D111" s="249">
        <f>3145116+7178682</f>
        <v>10323798</v>
      </c>
      <c r="E111" s="170"/>
      <c r="F111" s="170"/>
      <c r="G111" s="170">
        <v>1000</v>
      </c>
      <c r="H111" s="170"/>
      <c r="I111" s="170"/>
      <c r="K111" s="317">
        <f>'2. sz.mell. '!C111+'3. sz.mell.'!C111+'4. sz.mell. '!C112+'5. sz.mell.'!C112</f>
        <v>10324798</v>
      </c>
      <c r="L111" s="319">
        <f t="shared" si="37"/>
        <v>0</v>
      </c>
    </row>
    <row r="112" spans="1:14" ht="12.15" customHeight="1" thickBot="1" x14ac:dyDescent="0.35">
      <c r="A112" s="11" t="s">
        <v>137</v>
      </c>
      <c r="B112" s="58" t="s">
        <v>288</v>
      </c>
      <c r="C112" s="353">
        <f t="shared" si="35"/>
        <v>0</v>
      </c>
      <c r="D112" s="249"/>
      <c r="E112" s="170"/>
      <c r="F112" s="170"/>
      <c r="G112" s="170"/>
      <c r="H112" s="170"/>
      <c r="I112" s="170"/>
      <c r="K112" s="317">
        <f>'2. sz.mell. '!C112+'3. sz.mell.'!C112+'4. sz.mell. '!C113+'5. sz.mell.'!C113</f>
        <v>0</v>
      </c>
      <c r="L112" s="319">
        <f t="shared" si="37"/>
        <v>0</v>
      </c>
    </row>
    <row r="113" spans="1:12" ht="12.15" customHeight="1" thickBot="1" x14ac:dyDescent="0.35">
      <c r="A113" s="11" t="s">
        <v>282</v>
      </c>
      <c r="B113" s="59" t="s">
        <v>289</v>
      </c>
      <c r="C113" s="353">
        <f t="shared" si="35"/>
        <v>0</v>
      </c>
      <c r="D113" s="249"/>
      <c r="E113" s="170"/>
      <c r="F113" s="170"/>
      <c r="G113" s="170"/>
      <c r="H113" s="170"/>
      <c r="I113" s="170"/>
      <c r="K113" s="317">
        <f>'2. sz.mell. '!C113+'3. sz.mell.'!C113+'4. sz.mell. '!C114+'5. sz.mell.'!C114</f>
        <v>0</v>
      </c>
      <c r="L113" s="319">
        <f t="shared" si="37"/>
        <v>0</v>
      </c>
    </row>
    <row r="114" spans="1:12" ht="12.15" customHeight="1" thickBot="1" x14ac:dyDescent="0.35">
      <c r="A114" s="10" t="s">
        <v>283</v>
      </c>
      <c r="B114" s="60" t="s">
        <v>290</v>
      </c>
      <c r="C114" s="353">
        <f t="shared" si="35"/>
        <v>0</v>
      </c>
      <c r="D114" s="249"/>
      <c r="E114" s="170"/>
      <c r="F114" s="170"/>
      <c r="G114" s="170"/>
      <c r="H114" s="170"/>
      <c r="I114" s="170"/>
      <c r="K114" s="317">
        <f>'2. sz.mell. '!C114+'3. sz.mell.'!C114+'4. sz.mell. '!C115+'5. sz.mell.'!C115</f>
        <v>0</v>
      </c>
      <c r="L114" s="319">
        <f t="shared" si="37"/>
        <v>0</v>
      </c>
    </row>
    <row r="115" spans="1:12" ht="12.15" customHeight="1" thickBot="1" x14ac:dyDescent="0.35">
      <c r="A115" s="11" t="s">
        <v>399</v>
      </c>
      <c r="B115" s="60" t="s">
        <v>291</v>
      </c>
      <c r="C115" s="353">
        <f t="shared" si="35"/>
        <v>0</v>
      </c>
      <c r="D115" s="249"/>
      <c r="E115" s="170"/>
      <c r="F115" s="170"/>
      <c r="G115" s="170"/>
      <c r="H115" s="170"/>
      <c r="I115" s="170"/>
      <c r="K115" s="317">
        <f>'2. sz.mell. '!C115+'3. sz.mell.'!C115+'4. sz.mell. '!C116+'5. sz.mell.'!C116</f>
        <v>0</v>
      </c>
      <c r="L115" s="319">
        <f t="shared" si="37"/>
        <v>0</v>
      </c>
    </row>
    <row r="116" spans="1:12" ht="12.15" customHeight="1" thickBot="1" x14ac:dyDescent="0.35">
      <c r="A116" s="13" t="s">
        <v>400</v>
      </c>
      <c r="B116" s="60" t="s">
        <v>292</v>
      </c>
      <c r="C116" s="353">
        <f t="shared" si="35"/>
        <v>304908641</v>
      </c>
      <c r="D116" s="246">
        <v>180509633</v>
      </c>
      <c r="E116" s="114"/>
      <c r="F116" s="170"/>
      <c r="G116" s="170"/>
      <c r="H116" s="170"/>
      <c r="I116" s="170">
        <v>124399008</v>
      </c>
      <c r="K116" s="317">
        <f>'2. sz.mell. '!C116+'3. sz.mell.'!C116+'4. sz.mell. '!C117+'5. sz.mell.'!C117</f>
        <v>304908641</v>
      </c>
      <c r="L116" s="319">
        <f t="shared" si="37"/>
        <v>0</v>
      </c>
    </row>
    <row r="117" spans="1:12" ht="12.15" customHeight="1" thickBot="1" x14ac:dyDescent="0.35">
      <c r="A117" s="11" t="s">
        <v>401</v>
      </c>
      <c r="B117" s="5" t="s">
        <v>47</v>
      </c>
      <c r="C117" s="353">
        <f t="shared" si="35"/>
        <v>140388244</v>
      </c>
      <c r="D117" s="246">
        <f t="shared" ref="D117:H117" si="40">SUM(D118:D119)</f>
        <v>140388244</v>
      </c>
      <c r="E117" s="246">
        <f t="shared" si="40"/>
        <v>0</v>
      </c>
      <c r="F117" s="246">
        <f t="shared" si="40"/>
        <v>0</v>
      </c>
      <c r="G117" s="246">
        <f t="shared" si="40"/>
        <v>0</v>
      </c>
      <c r="H117" s="246">
        <f t="shared" si="40"/>
        <v>0</v>
      </c>
      <c r="I117" s="246">
        <f t="shared" ref="I117" si="41">SUM(I118:I119)</f>
        <v>0</v>
      </c>
      <c r="K117" s="317">
        <f>'2. sz.mell. '!C117+'3. sz.mell.'!C117+'4. sz.mell. '!C118+'5. sz.mell.'!C118</f>
        <v>140388244</v>
      </c>
      <c r="L117" s="319">
        <f t="shared" si="37"/>
        <v>0</v>
      </c>
    </row>
    <row r="118" spans="1:12" ht="12.15" customHeight="1" thickBot="1" x14ac:dyDescent="0.35">
      <c r="A118" s="11" t="s">
        <v>402</v>
      </c>
      <c r="B118" s="5" t="s">
        <v>403</v>
      </c>
      <c r="C118" s="1248">
        <f t="shared" si="35"/>
        <v>18212136</v>
      </c>
      <c r="D118" s="249">
        <f>10000000+8212136</f>
        <v>18212136</v>
      </c>
      <c r="E118" s="170"/>
      <c r="F118" s="114"/>
      <c r="G118" s="114"/>
      <c r="H118" s="114"/>
      <c r="I118" s="114"/>
      <c r="K118" s="317">
        <f>'2. sz.mell. '!C118+'3. sz.mell.'!C118+'4. sz.mell. '!C119+'5. sz.mell.'!C119</f>
        <v>18212136</v>
      </c>
      <c r="L118" s="319">
        <f t="shared" si="37"/>
        <v>0</v>
      </c>
    </row>
    <row r="119" spans="1:12" ht="12.15" customHeight="1" thickBot="1" x14ac:dyDescent="0.35">
      <c r="A119" s="15" t="s">
        <v>404</v>
      </c>
      <c r="B119" s="237" t="s">
        <v>405</v>
      </c>
      <c r="C119" s="1248">
        <f t="shared" si="35"/>
        <v>122176108</v>
      </c>
      <c r="D119" s="270">
        <f>132176108-10000000</f>
        <v>122176108</v>
      </c>
      <c r="E119" s="254"/>
      <c r="F119" s="254"/>
      <c r="G119" s="254"/>
      <c r="H119" s="254"/>
      <c r="I119" s="254"/>
      <c r="K119" s="317">
        <f>'2. sz.mell. '!C119+'3. sz.mell.'!C119+'4. sz.mell. '!C120+'5. sz.mell.'!C120</f>
        <v>122176108</v>
      </c>
      <c r="L119" s="320">
        <f t="shared" si="37"/>
        <v>0</v>
      </c>
    </row>
    <row r="120" spans="1:12" ht="12.15" customHeight="1" thickBot="1" x14ac:dyDescent="0.35">
      <c r="A120" s="238" t="s">
        <v>17</v>
      </c>
      <c r="B120" s="355" t="s">
        <v>293</v>
      </c>
      <c r="C120" s="358">
        <f t="shared" si="35"/>
        <v>1575070345</v>
      </c>
      <c r="D120" s="255">
        <f t="shared" ref="D120:I120" si="42">+D121+D123+D125</f>
        <v>1505668687</v>
      </c>
      <c r="E120" s="110">
        <f t="shared" si="42"/>
        <v>5786498</v>
      </c>
      <c r="F120" s="240">
        <f t="shared" si="42"/>
        <v>4074160</v>
      </c>
      <c r="G120" s="240">
        <f t="shared" si="42"/>
        <v>4253000</v>
      </c>
      <c r="H120" s="240">
        <f t="shared" si="42"/>
        <v>508000</v>
      </c>
      <c r="I120" s="240">
        <f t="shared" si="42"/>
        <v>54780000</v>
      </c>
      <c r="K120" s="317">
        <f>'2. sz.mell. '!C120+'3. sz.mell.'!C120+'4. sz.mell. '!C121+'5. sz.mell.'!C121</f>
        <v>1575070345</v>
      </c>
      <c r="L120" s="317">
        <f t="shared" si="37"/>
        <v>0</v>
      </c>
    </row>
    <row r="121" spans="1:12" ht="15" customHeight="1" thickBot="1" x14ac:dyDescent="0.35">
      <c r="A121" s="12" t="s">
        <v>91</v>
      </c>
      <c r="B121" s="5" t="s">
        <v>157</v>
      </c>
      <c r="C121" s="1248">
        <f t="shared" si="35"/>
        <v>544543857</v>
      </c>
      <c r="D121" s="639">
        <f>460349331+1300000+12122993+1369875</f>
        <v>475142199</v>
      </c>
      <c r="E121" s="214">
        <v>5786498</v>
      </c>
      <c r="F121" s="214">
        <v>4074160</v>
      </c>
      <c r="G121" s="214">
        <v>4253000</v>
      </c>
      <c r="H121" s="214">
        <v>508000</v>
      </c>
      <c r="I121" s="34">
        <v>54780000</v>
      </c>
      <c r="K121" s="317">
        <f>'2. sz.mell. '!C121+'3. sz.mell.'!C121+'4. sz.mell. '!C122+'5. sz.mell.'!C122</f>
        <v>544543857</v>
      </c>
      <c r="L121" s="318">
        <f t="shared" si="37"/>
        <v>0</v>
      </c>
    </row>
    <row r="122" spans="1:12" ht="12.15" customHeight="1" thickBot="1" x14ac:dyDescent="0.35">
      <c r="A122" s="12" t="s">
        <v>92</v>
      </c>
      <c r="B122" s="9" t="s">
        <v>297</v>
      </c>
      <c r="C122" s="1248">
        <f t="shared" si="35"/>
        <v>255720097</v>
      </c>
      <c r="D122" s="1005">
        <f>241263068+12122993+1134036</f>
        <v>254520097</v>
      </c>
      <c r="E122" s="214"/>
      <c r="F122" s="214"/>
      <c r="G122" s="214"/>
      <c r="H122" s="214"/>
      <c r="I122" s="214">
        <v>1200000</v>
      </c>
      <c r="K122" s="317">
        <f>'2. sz.mell. '!C122+'3. sz.mell.'!C122+'4. sz.mell. '!C123+'5. sz.mell.'!C123</f>
        <v>255720097</v>
      </c>
      <c r="L122" s="319">
        <f t="shared" si="37"/>
        <v>0</v>
      </c>
    </row>
    <row r="123" spans="1:12" ht="12.15" customHeight="1" thickBot="1" x14ac:dyDescent="0.35">
      <c r="A123" s="12" t="s">
        <v>93</v>
      </c>
      <c r="B123" s="9" t="s">
        <v>138</v>
      </c>
      <c r="C123" s="353">
        <f t="shared" si="35"/>
        <v>976239214</v>
      </c>
      <c r="D123" s="246">
        <v>976239214</v>
      </c>
      <c r="E123" s="114"/>
      <c r="F123" s="114"/>
      <c r="G123" s="114"/>
      <c r="H123" s="114"/>
      <c r="I123" s="114"/>
      <c r="K123" s="317">
        <f>'2. sz.mell. '!C123+'3. sz.mell.'!C123+'4. sz.mell. '!C124+'5. sz.mell.'!C124</f>
        <v>976239214</v>
      </c>
      <c r="L123" s="319">
        <f t="shared" si="37"/>
        <v>0</v>
      </c>
    </row>
    <row r="124" spans="1:12" ht="12.15" customHeight="1" thickBot="1" x14ac:dyDescent="0.35">
      <c r="A124" s="12" t="s">
        <v>94</v>
      </c>
      <c r="B124" s="9" t="s">
        <v>298</v>
      </c>
      <c r="C124" s="353">
        <f t="shared" si="35"/>
        <v>605613240</v>
      </c>
      <c r="D124" s="246">
        <v>605613240</v>
      </c>
      <c r="E124" s="246"/>
      <c r="F124" s="246"/>
      <c r="G124" s="246"/>
      <c r="H124" s="246"/>
      <c r="I124" s="246"/>
      <c r="K124" s="317">
        <f>'2. sz.mell. '!C124+'3. sz.mell.'!C124+'4. sz.mell. '!C125+'5. sz.mell.'!C125</f>
        <v>605613240</v>
      </c>
      <c r="L124" s="319">
        <f t="shared" si="37"/>
        <v>0</v>
      </c>
    </row>
    <row r="125" spans="1:12" ht="12.15" customHeight="1" thickBot="1" x14ac:dyDescent="0.35">
      <c r="A125" s="12" t="s">
        <v>95</v>
      </c>
      <c r="B125" s="107" t="s">
        <v>159</v>
      </c>
      <c r="C125" s="353">
        <f t="shared" si="35"/>
        <v>54287274</v>
      </c>
      <c r="D125" s="246">
        <f t="shared" ref="D125:I125" si="43">SUM(D126:D133)</f>
        <v>54287274</v>
      </c>
      <c r="E125" s="246">
        <f t="shared" si="43"/>
        <v>0</v>
      </c>
      <c r="F125" s="246">
        <f t="shared" si="43"/>
        <v>0</v>
      </c>
      <c r="G125" s="246">
        <f t="shared" si="43"/>
        <v>0</v>
      </c>
      <c r="H125" s="246">
        <f t="shared" si="43"/>
        <v>0</v>
      </c>
      <c r="I125" s="246">
        <f t="shared" si="43"/>
        <v>0</v>
      </c>
      <c r="K125" s="317">
        <f>'2. sz.mell. '!C125+'3. sz.mell.'!C125+'4. sz.mell. '!C126+'5. sz.mell.'!C126</f>
        <v>54287274</v>
      </c>
      <c r="L125" s="319">
        <f t="shared" si="37"/>
        <v>0</v>
      </c>
    </row>
    <row r="126" spans="1:12" ht="12.15" customHeight="1" thickBot="1" x14ac:dyDescent="0.35">
      <c r="A126" s="12" t="s">
        <v>104</v>
      </c>
      <c r="B126" s="106" t="s">
        <v>358</v>
      </c>
      <c r="C126" s="353">
        <f t="shared" si="35"/>
        <v>0</v>
      </c>
      <c r="D126" s="246"/>
      <c r="E126" s="246"/>
      <c r="F126" s="246"/>
      <c r="G126" s="246"/>
      <c r="H126" s="246"/>
      <c r="I126" s="246"/>
      <c r="K126" s="317">
        <f>'2. sz.mell. '!C126+'3. sz.mell.'!C126+'4. sz.mell. '!C127+'5. sz.mell.'!C127</f>
        <v>0</v>
      </c>
      <c r="L126" s="319">
        <f t="shared" si="37"/>
        <v>0</v>
      </c>
    </row>
    <row r="127" spans="1:12" ht="12.15" customHeight="1" thickBot="1" x14ac:dyDescent="0.35">
      <c r="A127" s="12" t="s">
        <v>106</v>
      </c>
      <c r="B127" s="177" t="s">
        <v>303</v>
      </c>
      <c r="C127" s="353">
        <f t="shared" si="35"/>
        <v>0</v>
      </c>
      <c r="D127" s="246"/>
      <c r="E127" s="246"/>
      <c r="F127" s="246"/>
      <c r="G127" s="246"/>
      <c r="H127" s="246"/>
      <c r="I127" s="246"/>
      <c r="K127" s="317">
        <f>'2. sz.mell. '!C127+'3. sz.mell.'!C127+'4. sz.mell. '!C128+'5. sz.mell.'!C128</f>
        <v>0</v>
      </c>
      <c r="L127" s="319">
        <f t="shared" si="37"/>
        <v>0</v>
      </c>
    </row>
    <row r="128" spans="1:12" ht="16.2" thickBot="1" x14ac:dyDescent="0.35">
      <c r="A128" s="12" t="s">
        <v>139</v>
      </c>
      <c r="B128" s="59" t="s">
        <v>286</v>
      </c>
      <c r="C128" s="353">
        <f t="shared" si="35"/>
        <v>0</v>
      </c>
      <c r="D128" s="246"/>
      <c r="E128" s="246"/>
      <c r="F128" s="246"/>
      <c r="G128" s="246"/>
      <c r="H128" s="246"/>
      <c r="I128" s="246"/>
      <c r="K128" s="317">
        <f>'2. sz.mell. '!C128+'3. sz.mell.'!C128+'4. sz.mell. '!C129+'5. sz.mell.'!C129</f>
        <v>0</v>
      </c>
      <c r="L128" s="319">
        <f t="shared" si="37"/>
        <v>0</v>
      </c>
    </row>
    <row r="129" spans="1:12" ht="12.15" customHeight="1" thickBot="1" x14ac:dyDescent="0.35">
      <c r="A129" s="12" t="s">
        <v>140</v>
      </c>
      <c r="B129" s="59" t="s">
        <v>302</v>
      </c>
      <c r="C129" s="1248">
        <f t="shared" si="35"/>
        <v>51986182</v>
      </c>
      <c r="D129" s="246">
        <f>51985155+1027</f>
        <v>51986182</v>
      </c>
      <c r="E129" s="246"/>
      <c r="F129" s="246"/>
      <c r="G129" s="246"/>
      <c r="H129" s="246"/>
      <c r="I129" s="246"/>
      <c r="K129" s="317">
        <f>'2. sz.mell. '!C129+'3. sz.mell.'!C129+'4. sz.mell. '!C130+'5. sz.mell.'!C130</f>
        <v>51986182</v>
      </c>
      <c r="L129" s="319">
        <f t="shared" si="37"/>
        <v>0</v>
      </c>
    </row>
    <row r="130" spans="1:12" ht="12.15" customHeight="1" thickBot="1" x14ac:dyDescent="0.35">
      <c r="A130" s="12" t="s">
        <v>141</v>
      </c>
      <c r="B130" s="59" t="s">
        <v>301</v>
      </c>
      <c r="C130" s="353">
        <f t="shared" si="35"/>
        <v>0</v>
      </c>
      <c r="D130" s="246"/>
      <c r="E130" s="246"/>
      <c r="F130" s="246"/>
      <c r="G130" s="246"/>
      <c r="H130" s="246"/>
      <c r="I130" s="246"/>
      <c r="K130" s="317">
        <f>'2. sz.mell. '!C130+'3. sz.mell.'!C130+'4. sz.mell. '!C131+'5. sz.mell.'!C131</f>
        <v>0</v>
      </c>
      <c r="L130" s="319">
        <f t="shared" si="37"/>
        <v>0</v>
      </c>
    </row>
    <row r="131" spans="1:12" ht="12.15" customHeight="1" thickBot="1" x14ac:dyDescent="0.35">
      <c r="A131" s="12" t="s">
        <v>294</v>
      </c>
      <c r="B131" s="59" t="s">
        <v>289</v>
      </c>
      <c r="C131" s="353">
        <f t="shared" ref="C131:C160" si="44">SUM(D131:I131)</f>
        <v>0</v>
      </c>
      <c r="D131" s="246"/>
      <c r="E131" s="246"/>
      <c r="F131" s="246"/>
      <c r="G131" s="246"/>
      <c r="H131" s="246"/>
      <c r="I131" s="246"/>
      <c r="K131" s="317">
        <f>'2. sz.mell. '!C131+'3. sz.mell.'!C131+'4. sz.mell. '!C132+'5. sz.mell.'!C132</f>
        <v>0</v>
      </c>
      <c r="L131" s="319">
        <f t="shared" ref="L131:L160" si="45">C131-K131</f>
        <v>0</v>
      </c>
    </row>
    <row r="132" spans="1:12" ht="12.15" customHeight="1" thickBot="1" x14ac:dyDescent="0.35">
      <c r="A132" s="12" t="s">
        <v>295</v>
      </c>
      <c r="B132" s="59" t="s">
        <v>300</v>
      </c>
      <c r="C132" s="353">
        <f t="shared" si="44"/>
        <v>0</v>
      </c>
      <c r="D132" s="246"/>
      <c r="E132" s="246"/>
      <c r="F132" s="246"/>
      <c r="G132" s="246"/>
      <c r="H132" s="246"/>
      <c r="I132" s="246"/>
      <c r="K132" s="317">
        <f>'2. sz.mell. '!C132+'3. sz.mell.'!C132+'4. sz.mell. '!C133+'5. sz.mell.'!C133</f>
        <v>0</v>
      </c>
      <c r="L132" s="319">
        <f t="shared" si="45"/>
        <v>0</v>
      </c>
    </row>
    <row r="133" spans="1:12" ht="16.2" thickBot="1" x14ac:dyDescent="0.35">
      <c r="A133" s="10" t="s">
        <v>296</v>
      </c>
      <c r="B133" s="59" t="s">
        <v>299</v>
      </c>
      <c r="C133" s="353">
        <f t="shared" si="44"/>
        <v>2301092</v>
      </c>
      <c r="D133" s="249">
        <v>2301092</v>
      </c>
      <c r="E133" s="249"/>
      <c r="F133" s="249"/>
      <c r="G133" s="249"/>
      <c r="H133" s="249"/>
      <c r="I133" s="249"/>
      <c r="K133" s="317">
        <f>'2. sz.mell. '!C133+'3. sz.mell.'!C133+'4. sz.mell. '!C134+'5. sz.mell.'!C134</f>
        <v>2301092</v>
      </c>
      <c r="L133" s="320">
        <f t="shared" si="45"/>
        <v>0</v>
      </c>
    </row>
    <row r="134" spans="1:12" ht="12.15" customHeight="1" thickBot="1" x14ac:dyDescent="0.35">
      <c r="A134" s="17" t="s">
        <v>18</v>
      </c>
      <c r="B134" s="356" t="s">
        <v>406</v>
      </c>
      <c r="C134" s="358">
        <f t="shared" si="44"/>
        <v>5890225161</v>
      </c>
      <c r="D134" s="255">
        <f t="shared" ref="D134:I134" si="46">+D99+D120</f>
        <v>2503914312</v>
      </c>
      <c r="E134" s="110">
        <f t="shared" si="46"/>
        <v>722624474</v>
      </c>
      <c r="F134" s="110">
        <f t="shared" si="46"/>
        <v>591748726</v>
      </c>
      <c r="G134" s="110">
        <f t="shared" si="46"/>
        <v>256922923</v>
      </c>
      <c r="H134" s="110">
        <f t="shared" si="46"/>
        <v>195308799</v>
      </c>
      <c r="I134" s="110">
        <f t="shared" si="46"/>
        <v>1619705927</v>
      </c>
      <c r="K134" s="317">
        <f>'2. sz.mell. '!C134+'3. sz.mell.'!C134+'4. sz.mell. '!C135+'5. sz.mell.'!C135</f>
        <v>5890225161</v>
      </c>
      <c r="L134" s="317">
        <f t="shared" si="45"/>
        <v>0</v>
      </c>
    </row>
    <row r="135" spans="1:12" ht="12.15" customHeight="1" thickBot="1" x14ac:dyDescent="0.35">
      <c r="A135" s="17" t="s">
        <v>19</v>
      </c>
      <c r="B135" s="356" t="s">
        <v>407</v>
      </c>
      <c r="C135" s="358">
        <f t="shared" si="44"/>
        <v>1133102330</v>
      </c>
      <c r="D135" s="255">
        <f t="shared" ref="D135:I135" si="47">+D136+D137+D138</f>
        <v>1133102330</v>
      </c>
      <c r="E135" s="110">
        <f t="shared" si="47"/>
        <v>0</v>
      </c>
      <c r="F135" s="110">
        <f t="shared" si="47"/>
        <v>0</v>
      </c>
      <c r="G135" s="110">
        <f t="shared" si="47"/>
        <v>0</v>
      </c>
      <c r="H135" s="110">
        <f t="shared" si="47"/>
        <v>0</v>
      </c>
      <c r="I135" s="110">
        <f t="shared" si="47"/>
        <v>0</v>
      </c>
      <c r="K135" s="317">
        <f>'2. sz.mell. '!C135+'3. sz.mell.'!C135+'4. sz.mell. '!C136+'5. sz.mell.'!C136</f>
        <v>1133102330</v>
      </c>
      <c r="L135" s="317">
        <f t="shared" si="45"/>
        <v>0</v>
      </c>
    </row>
    <row r="136" spans="1:12" ht="12.15" customHeight="1" thickBot="1" x14ac:dyDescent="0.35">
      <c r="A136" s="12" t="s">
        <v>195</v>
      </c>
      <c r="B136" s="9" t="s">
        <v>408</v>
      </c>
      <c r="C136" s="353">
        <f t="shared" si="44"/>
        <v>33102330</v>
      </c>
      <c r="D136" s="246">
        <v>33102330</v>
      </c>
      <c r="E136" s="246"/>
      <c r="F136" s="246"/>
      <c r="G136" s="246"/>
      <c r="H136" s="246"/>
      <c r="I136" s="246"/>
      <c r="K136" s="317">
        <f>'2. sz.mell. '!C136+'3. sz.mell.'!C136+'4. sz.mell. '!C137+'5. sz.mell.'!C137</f>
        <v>33102330</v>
      </c>
      <c r="L136" s="318">
        <f t="shared" si="45"/>
        <v>0</v>
      </c>
    </row>
    <row r="137" spans="1:12" ht="12.15" customHeight="1" thickBot="1" x14ac:dyDescent="0.35">
      <c r="A137" s="12" t="s">
        <v>198</v>
      </c>
      <c r="B137" s="9" t="s">
        <v>409</v>
      </c>
      <c r="C137" s="353">
        <f t="shared" si="44"/>
        <v>1100000000</v>
      </c>
      <c r="D137" s="246">
        <f>1100000000</f>
        <v>1100000000</v>
      </c>
      <c r="E137" s="246"/>
      <c r="F137" s="246"/>
      <c r="G137" s="246"/>
      <c r="H137" s="246"/>
      <c r="I137" s="246"/>
      <c r="K137" s="317">
        <f>'2. sz.mell. '!C137+'3. sz.mell.'!C137+'4. sz.mell. '!C138+'5. sz.mell.'!C138</f>
        <v>1100000000</v>
      </c>
      <c r="L137" s="319">
        <f t="shared" si="45"/>
        <v>0</v>
      </c>
    </row>
    <row r="138" spans="1:12" ht="12.15" customHeight="1" thickBot="1" x14ac:dyDescent="0.35">
      <c r="A138" s="10" t="s">
        <v>199</v>
      </c>
      <c r="B138" s="9" t="s">
        <v>410</v>
      </c>
      <c r="C138" s="399">
        <f t="shared" si="44"/>
        <v>0</v>
      </c>
      <c r="D138" s="246"/>
      <c r="E138" s="246"/>
      <c r="F138" s="246"/>
      <c r="G138" s="246"/>
      <c r="H138" s="246"/>
      <c r="I138" s="246"/>
      <c r="K138" s="317">
        <f>'2. sz.mell. '!C138+'3. sz.mell.'!C138+'4. sz.mell. '!C139+'5. sz.mell.'!C139</f>
        <v>0</v>
      </c>
      <c r="L138" s="320">
        <f t="shared" si="45"/>
        <v>0</v>
      </c>
    </row>
    <row r="139" spans="1:12" ht="12.15" customHeight="1" thickBot="1" x14ac:dyDescent="0.35">
      <c r="A139" s="17" t="s">
        <v>20</v>
      </c>
      <c r="B139" s="356" t="s">
        <v>411</v>
      </c>
      <c r="C139" s="358">
        <f t="shared" si="44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 t="shared" ref="I139" si="48">SUM(I140:I145)</f>
        <v>0</v>
      </c>
      <c r="K139" s="317">
        <f>'2. sz.mell. '!C139+'3. sz.mell.'!C139+'4. sz.mell. '!C140+'5. sz.mell.'!C140</f>
        <v>0</v>
      </c>
      <c r="L139" s="317">
        <f t="shared" si="45"/>
        <v>0</v>
      </c>
    </row>
    <row r="140" spans="1:12" ht="12.15" customHeight="1" thickBot="1" x14ac:dyDescent="0.35">
      <c r="A140" s="12" t="s">
        <v>78</v>
      </c>
      <c r="B140" s="6" t="s">
        <v>412</v>
      </c>
      <c r="C140" s="353">
        <f t="shared" si="44"/>
        <v>0</v>
      </c>
      <c r="D140" s="99"/>
      <c r="E140" s="99"/>
      <c r="F140" s="99"/>
      <c r="G140" s="99"/>
      <c r="H140" s="99"/>
      <c r="I140" s="99"/>
      <c r="K140" s="317">
        <f>'2. sz.mell. '!C140+'3. sz.mell.'!C140+'4. sz.mell. '!C141+'5. sz.mell.'!C141</f>
        <v>0</v>
      </c>
      <c r="L140" s="318">
        <f t="shared" si="45"/>
        <v>0</v>
      </c>
    </row>
    <row r="141" spans="1:12" ht="12.15" customHeight="1" thickBot="1" x14ac:dyDescent="0.35">
      <c r="A141" s="12" t="s">
        <v>79</v>
      </c>
      <c r="B141" s="6" t="s">
        <v>413</v>
      </c>
      <c r="C141" s="353">
        <f t="shared" si="44"/>
        <v>0</v>
      </c>
      <c r="D141" s="99"/>
      <c r="E141" s="99"/>
      <c r="F141" s="99"/>
      <c r="G141" s="99"/>
      <c r="H141" s="99"/>
      <c r="I141" s="99"/>
      <c r="K141" s="317">
        <f>'2. sz.mell. '!C141+'3. sz.mell.'!C141+'4. sz.mell. '!C142+'5. sz.mell.'!C142</f>
        <v>0</v>
      </c>
      <c r="L141" s="319">
        <f t="shared" si="45"/>
        <v>0</v>
      </c>
    </row>
    <row r="142" spans="1:12" ht="12.15" customHeight="1" thickBot="1" x14ac:dyDescent="0.35">
      <c r="A142" s="12" t="s">
        <v>80</v>
      </c>
      <c r="B142" s="6" t="s">
        <v>414</v>
      </c>
      <c r="C142" s="353">
        <f t="shared" si="44"/>
        <v>0</v>
      </c>
      <c r="D142" s="99"/>
      <c r="E142" s="99"/>
      <c r="F142" s="99"/>
      <c r="G142" s="99"/>
      <c r="H142" s="99"/>
      <c r="I142" s="99"/>
      <c r="K142" s="317">
        <f>'2. sz.mell. '!C142+'3. sz.mell.'!C142+'4. sz.mell. '!C143+'5. sz.mell.'!C143</f>
        <v>0</v>
      </c>
      <c r="L142" s="319">
        <f t="shared" si="45"/>
        <v>0</v>
      </c>
    </row>
    <row r="143" spans="1:12" ht="12.15" customHeight="1" thickBot="1" x14ac:dyDescent="0.35">
      <c r="A143" s="12" t="s">
        <v>126</v>
      </c>
      <c r="B143" s="6" t="s">
        <v>415</v>
      </c>
      <c r="C143" s="353">
        <f t="shared" si="44"/>
        <v>0</v>
      </c>
      <c r="D143" s="99"/>
      <c r="E143" s="99"/>
      <c r="F143" s="99"/>
      <c r="G143" s="99"/>
      <c r="H143" s="99"/>
      <c r="I143" s="99"/>
      <c r="K143" s="317">
        <f>'2. sz.mell. '!C143+'3. sz.mell.'!C143+'4. sz.mell. '!C144+'5. sz.mell.'!C144</f>
        <v>0</v>
      </c>
      <c r="L143" s="319">
        <f t="shared" si="45"/>
        <v>0</v>
      </c>
    </row>
    <row r="144" spans="1:12" ht="12.15" customHeight="1" thickBot="1" x14ac:dyDescent="0.35">
      <c r="A144" s="12" t="s">
        <v>127</v>
      </c>
      <c r="B144" s="6" t="s">
        <v>416</v>
      </c>
      <c r="C144" s="353">
        <f t="shared" si="44"/>
        <v>0</v>
      </c>
      <c r="D144" s="99"/>
      <c r="E144" s="99"/>
      <c r="F144" s="99"/>
      <c r="G144" s="99"/>
      <c r="H144" s="99"/>
      <c r="I144" s="99"/>
      <c r="K144" s="317">
        <f>'2. sz.mell. '!C144+'3. sz.mell.'!C144+'4. sz.mell. '!C145+'5. sz.mell.'!C145</f>
        <v>0</v>
      </c>
      <c r="L144" s="319">
        <f t="shared" si="45"/>
        <v>0</v>
      </c>
    </row>
    <row r="145" spans="1:12" ht="12.15" customHeight="1" thickBot="1" x14ac:dyDescent="0.35">
      <c r="A145" s="10" t="s">
        <v>128</v>
      </c>
      <c r="B145" s="6" t="s">
        <v>417</v>
      </c>
      <c r="C145" s="399">
        <f t="shared" si="44"/>
        <v>0</v>
      </c>
      <c r="D145" s="99"/>
      <c r="E145" s="99"/>
      <c r="F145" s="99"/>
      <c r="G145" s="99"/>
      <c r="H145" s="99"/>
      <c r="I145" s="99"/>
      <c r="K145" s="317">
        <f>'2. sz.mell. '!C145+'3. sz.mell.'!C145+'4. sz.mell. '!C146+'5. sz.mell.'!C146</f>
        <v>0</v>
      </c>
      <c r="L145" s="320">
        <f t="shared" si="45"/>
        <v>0</v>
      </c>
    </row>
    <row r="146" spans="1:12" ht="12.15" customHeight="1" thickBot="1" x14ac:dyDescent="0.35">
      <c r="A146" s="17" t="s">
        <v>21</v>
      </c>
      <c r="B146" s="356" t="s">
        <v>418</v>
      </c>
      <c r="C146" s="358">
        <f t="shared" si="44"/>
        <v>67733205</v>
      </c>
      <c r="D146" s="257">
        <f t="shared" ref="D146:I146" si="49">+D147+D148+D149+D150</f>
        <v>67733205</v>
      </c>
      <c r="E146" s="115">
        <f t="shared" si="49"/>
        <v>0</v>
      </c>
      <c r="F146" s="115">
        <f t="shared" si="49"/>
        <v>0</v>
      </c>
      <c r="G146" s="115">
        <f t="shared" si="49"/>
        <v>0</v>
      </c>
      <c r="H146" s="115">
        <f t="shared" si="49"/>
        <v>0</v>
      </c>
      <c r="I146" s="115">
        <f t="shared" si="49"/>
        <v>0</v>
      </c>
      <c r="K146" s="317">
        <f>'2. sz.mell. '!C146+'3. sz.mell.'!C146+'4. sz.mell. '!C147+'5. sz.mell.'!C147</f>
        <v>67733205</v>
      </c>
      <c r="L146" s="317">
        <f t="shared" si="45"/>
        <v>0</v>
      </c>
    </row>
    <row r="147" spans="1:12" ht="12.15" customHeight="1" thickBot="1" x14ac:dyDescent="0.35">
      <c r="A147" s="12" t="s">
        <v>81</v>
      </c>
      <c r="B147" s="6" t="s">
        <v>304</v>
      </c>
      <c r="C147" s="353">
        <f t="shared" si="44"/>
        <v>0</v>
      </c>
      <c r="D147" s="246"/>
      <c r="E147" s="246"/>
      <c r="F147" s="246"/>
      <c r="G147" s="246"/>
      <c r="H147" s="246"/>
      <c r="I147" s="246"/>
      <c r="K147" s="317">
        <f>'2. sz.mell. '!C147+'3. sz.mell.'!C147+'4. sz.mell. '!C148+'5. sz.mell.'!C148</f>
        <v>0</v>
      </c>
      <c r="L147" s="318">
        <f t="shared" si="45"/>
        <v>0</v>
      </c>
    </row>
    <row r="148" spans="1:12" ht="12.15" customHeight="1" thickBot="1" x14ac:dyDescent="0.35">
      <c r="A148" s="12" t="s">
        <v>82</v>
      </c>
      <c r="B148" s="6" t="s">
        <v>305</v>
      </c>
      <c r="C148" s="353">
        <f t="shared" si="44"/>
        <v>67733205</v>
      </c>
      <c r="D148" s="246">
        <v>67733205</v>
      </c>
      <c r="E148" s="246"/>
      <c r="F148" s="246"/>
      <c r="G148" s="246"/>
      <c r="H148" s="246"/>
      <c r="I148" s="246"/>
      <c r="K148" s="317">
        <f>'2. sz.mell. '!C148+'3. sz.mell.'!C148+'4. sz.mell. '!C149+'5. sz.mell.'!C149</f>
        <v>67733205</v>
      </c>
      <c r="L148" s="319">
        <f t="shared" si="45"/>
        <v>0</v>
      </c>
    </row>
    <row r="149" spans="1:12" ht="12.15" customHeight="1" thickBot="1" x14ac:dyDescent="0.35">
      <c r="A149" s="12" t="s">
        <v>218</v>
      </c>
      <c r="B149" s="6" t="s">
        <v>419</v>
      </c>
      <c r="C149" s="353">
        <f t="shared" si="44"/>
        <v>0</v>
      </c>
      <c r="D149" s="246"/>
      <c r="E149" s="246"/>
      <c r="F149" s="246"/>
      <c r="G149" s="246"/>
      <c r="H149" s="246"/>
      <c r="I149" s="246"/>
      <c r="K149" s="317">
        <f>'2. sz.mell. '!C149+'3. sz.mell.'!C149+'4. sz.mell. '!C150+'5. sz.mell.'!C150</f>
        <v>0</v>
      </c>
      <c r="L149" s="319">
        <f t="shared" si="45"/>
        <v>0</v>
      </c>
    </row>
    <row r="150" spans="1:12" ht="12.15" customHeight="1" thickBot="1" x14ac:dyDescent="0.35">
      <c r="A150" s="10" t="s">
        <v>219</v>
      </c>
      <c r="B150" s="4" t="s">
        <v>323</v>
      </c>
      <c r="C150" s="399">
        <f t="shared" si="44"/>
        <v>0</v>
      </c>
      <c r="D150" s="246"/>
      <c r="E150" s="246"/>
      <c r="F150" s="246"/>
      <c r="G150" s="246"/>
      <c r="H150" s="246"/>
      <c r="I150" s="246"/>
      <c r="K150" s="317">
        <f>'2. sz.mell. '!C150+'3. sz.mell.'!C150+'4. sz.mell. '!C151+'5. sz.mell.'!C151</f>
        <v>0</v>
      </c>
      <c r="L150" s="320">
        <f t="shared" si="45"/>
        <v>0</v>
      </c>
    </row>
    <row r="151" spans="1:12" ht="12.15" customHeight="1" thickBot="1" x14ac:dyDescent="0.35">
      <c r="A151" s="17" t="s">
        <v>22</v>
      </c>
      <c r="B151" s="356" t="s">
        <v>420</v>
      </c>
      <c r="C151" s="358">
        <f t="shared" si="44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 t="shared" ref="I151" si="50">SUM(I152:I156)</f>
        <v>0</v>
      </c>
      <c r="K151" s="317">
        <f>'2. sz.mell. '!C151+'3. sz.mell.'!C151+'4. sz.mell. '!C152+'5. sz.mell.'!C152</f>
        <v>0</v>
      </c>
      <c r="L151" s="317">
        <f t="shared" si="45"/>
        <v>0</v>
      </c>
    </row>
    <row r="152" spans="1:12" ht="12.15" customHeight="1" thickBot="1" x14ac:dyDescent="0.35">
      <c r="A152" s="12" t="s">
        <v>83</v>
      </c>
      <c r="B152" s="6" t="s">
        <v>421</v>
      </c>
      <c r="C152" s="354">
        <f t="shared" si="44"/>
        <v>0</v>
      </c>
      <c r="D152" s="99"/>
      <c r="E152" s="99"/>
      <c r="F152" s="99"/>
      <c r="G152" s="99"/>
      <c r="H152" s="99"/>
      <c r="I152" s="99"/>
      <c r="K152" s="317">
        <f>'2. sz.mell. '!C152+'3. sz.mell.'!C152+'4. sz.mell. '!C153+'5. sz.mell.'!C153</f>
        <v>0</v>
      </c>
      <c r="L152" s="318">
        <f t="shared" si="45"/>
        <v>0</v>
      </c>
    </row>
    <row r="153" spans="1:12" ht="12.15" customHeight="1" thickBot="1" x14ac:dyDescent="0.35">
      <c r="A153" s="12" t="s">
        <v>84</v>
      </c>
      <c r="B153" s="6" t="s">
        <v>422</v>
      </c>
      <c r="C153" s="354">
        <f t="shared" si="44"/>
        <v>0</v>
      </c>
      <c r="D153" s="99"/>
      <c r="E153" s="99"/>
      <c r="F153" s="99"/>
      <c r="G153" s="99"/>
      <c r="H153" s="99"/>
      <c r="I153" s="99"/>
      <c r="K153" s="317">
        <f>'2. sz.mell. '!C153+'3. sz.mell.'!C153+'4. sz.mell. '!C154+'5. sz.mell.'!C154</f>
        <v>0</v>
      </c>
      <c r="L153" s="319">
        <f t="shared" si="45"/>
        <v>0</v>
      </c>
    </row>
    <row r="154" spans="1:12" ht="12.15" customHeight="1" thickBot="1" x14ac:dyDescent="0.35">
      <c r="A154" s="12" t="s">
        <v>230</v>
      </c>
      <c r="B154" s="6" t="s">
        <v>423</v>
      </c>
      <c r="C154" s="354">
        <f t="shared" si="44"/>
        <v>0</v>
      </c>
      <c r="D154" s="99"/>
      <c r="E154" s="99"/>
      <c r="F154" s="99"/>
      <c r="G154" s="99"/>
      <c r="H154" s="99"/>
      <c r="I154" s="99"/>
      <c r="K154" s="317">
        <f>'2. sz.mell. '!C154+'3. sz.mell.'!C154+'4. sz.mell. '!C155+'5. sz.mell.'!C155</f>
        <v>0</v>
      </c>
      <c r="L154" s="319">
        <f t="shared" si="45"/>
        <v>0</v>
      </c>
    </row>
    <row r="155" spans="1:12" ht="12.15" customHeight="1" thickBot="1" x14ac:dyDescent="0.35">
      <c r="A155" s="12" t="s">
        <v>231</v>
      </c>
      <c r="B155" s="6" t="s">
        <v>424</v>
      </c>
      <c r="C155" s="354">
        <f t="shared" si="44"/>
        <v>0</v>
      </c>
      <c r="D155" s="99"/>
      <c r="E155" s="99"/>
      <c r="F155" s="99"/>
      <c r="G155" s="99"/>
      <c r="H155" s="99"/>
      <c r="I155" s="99"/>
      <c r="K155" s="317">
        <f>'2. sz.mell. '!C155+'3. sz.mell.'!C155+'4. sz.mell. '!C156+'5. sz.mell.'!C156</f>
        <v>0</v>
      </c>
      <c r="L155" s="319">
        <f t="shared" si="45"/>
        <v>0</v>
      </c>
    </row>
    <row r="156" spans="1:12" ht="12.15" customHeight="1" thickBot="1" x14ac:dyDescent="0.35">
      <c r="A156" s="12" t="s">
        <v>425</v>
      </c>
      <c r="B156" s="6" t="s">
        <v>426</v>
      </c>
      <c r="C156" s="357">
        <f t="shared" si="44"/>
        <v>0</v>
      </c>
      <c r="D156" s="100"/>
      <c r="E156" s="100"/>
      <c r="F156" s="99"/>
      <c r="G156" s="99"/>
      <c r="H156" s="99"/>
      <c r="I156" s="99"/>
      <c r="K156" s="317">
        <f>'2. sz.mell. '!C156+'3. sz.mell.'!C156+'4. sz.mell. '!C157+'5. sz.mell.'!C157</f>
        <v>0</v>
      </c>
      <c r="L156" s="320">
        <f t="shared" si="45"/>
        <v>0</v>
      </c>
    </row>
    <row r="157" spans="1:12" ht="12.15" customHeight="1" thickBot="1" x14ac:dyDescent="0.35">
      <c r="A157" s="17" t="s">
        <v>23</v>
      </c>
      <c r="B157" s="356" t="s">
        <v>427</v>
      </c>
      <c r="C157" s="358">
        <f t="shared" si="44"/>
        <v>0</v>
      </c>
      <c r="D157" s="262"/>
      <c r="E157" s="118"/>
      <c r="F157" s="241"/>
      <c r="G157" s="241"/>
      <c r="H157" s="241"/>
      <c r="I157" s="241"/>
      <c r="K157" s="317">
        <f>'2. sz.mell. '!C157+'3. sz.mell.'!C157+'4. sz.mell. '!C158+'5. sz.mell.'!C158</f>
        <v>0</v>
      </c>
      <c r="L157" s="317">
        <f t="shared" si="45"/>
        <v>0</v>
      </c>
    </row>
    <row r="158" spans="1:12" ht="12.15" customHeight="1" thickBot="1" x14ac:dyDescent="0.35">
      <c r="A158" s="17" t="s">
        <v>24</v>
      </c>
      <c r="B158" s="356" t="s">
        <v>428</v>
      </c>
      <c r="C158" s="358">
        <f t="shared" si="44"/>
        <v>0</v>
      </c>
      <c r="D158" s="262"/>
      <c r="E158" s="118"/>
      <c r="F158" s="241"/>
      <c r="G158" s="241"/>
      <c r="H158" s="241"/>
      <c r="I158" s="241"/>
      <c r="K158" s="317">
        <f>'2. sz.mell. '!C158+'3. sz.mell.'!C158+'4. sz.mell. '!C159+'5. sz.mell.'!C159</f>
        <v>0</v>
      </c>
      <c r="L158" s="317">
        <f t="shared" si="45"/>
        <v>0</v>
      </c>
    </row>
    <row r="159" spans="1:12" ht="15" customHeight="1" thickBot="1" x14ac:dyDescent="0.35">
      <c r="A159" s="17" t="s">
        <v>25</v>
      </c>
      <c r="B159" s="356" t="s">
        <v>429</v>
      </c>
      <c r="C159" s="358">
        <f t="shared" si="44"/>
        <v>1200835535</v>
      </c>
      <c r="D159" s="263">
        <f t="shared" ref="D159:I159" si="51">+D135+D139+D146+D151+D157+D158</f>
        <v>1200835535</v>
      </c>
      <c r="E159" s="189">
        <f t="shared" si="51"/>
        <v>0</v>
      </c>
      <c r="F159" s="189">
        <f t="shared" si="51"/>
        <v>0</v>
      </c>
      <c r="G159" s="189">
        <f t="shared" si="51"/>
        <v>0</v>
      </c>
      <c r="H159" s="189">
        <f t="shared" si="51"/>
        <v>0</v>
      </c>
      <c r="I159" s="189">
        <f t="shared" si="51"/>
        <v>0</v>
      </c>
      <c r="J159" s="190"/>
      <c r="K159" s="317">
        <f>'2. sz.mell. '!C159+'3. sz.mell.'!C159+'4. sz.mell. '!C160+'5. sz.mell.'!C160</f>
        <v>1200835535</v>
      </c>
      <c r="L159" s="317">
        <f t="shared" si="45"/>
        <v>0</v>
      </c>
    </row>
    <row r="160" spans="1:12" s="179" customFormat="1" ht="12.9" customHeight="1" thickBot="1" x14ac:dyDescent="0.3">
      <c r="A160" s="108" t="s">
        <v>26</v>
      </c>
      <c r="B160" s="359" t="s">
        <v>430</v>
      </c>
      <c r="C160" s="358">
        <f t="shared" si="44"/>
        <v>7091060696</v>
      </c>
      <c r="D160" s="263">
        <f t="shared" ref="D160:I160" si="52">+D134+D159</f>
        <v>3704749847</v>
      </c>
      <c r="E160" s="189">
        <f t="shared" si="52"/>
        <v>722624474</v>
      </c>
      <c r="F160" s="189">
        <f t="shared" si="52"/>
        <v>591748726</v>
      </c>
      <c r="G160" s="189">
        <f t="shared" si="52"/>
        <v>256922923</v>
      </c>
      <c r="H160" s="189">
        <f t="shared" si="52"/>
        <v>195308799</v>
      </c>
      <c r="I160" s="189">
        <f t="shared" si="52"/>
        <v>1619705927</v>
      </c>
      <c r="K160" s="317">
        <f>'2. sz.mell. '!C160+'3. sz.mell.'!C160+'4. sz.mell. '!C161+'5. sz.mell.'!C161</f>
        <v>7091060696</v>
      </c>
      <c r="L160" s="317">
        <f t="shared" si="45"/>
        <v>0</v>
      </c>
    </row>
    <row r="161" spans="1:9" x14ac:dyDescent="0.3">
      <c r="A161" s="1279" t="s">
        <v>306</v>
      </c>
      <c r="B161" s="1279"/>
      <c r="C161" s="1279"/>
    </row>
    <row r="162" spans="1:9" ht="15" customHeight="1" thickBot="1" x14ac:dyDescent="0.35">
      <c r="A162" s="1282" t="s">
        <v>116</v>
      </c>
      <c r="B162" s="1282"/>
      <c r="C162" s="746" t="s">
        <v>483</v>
      </c>
    </row>
    <row r="163" spans="1:9" ht="13.65" customHeight="1" thickBot="1" x14ac:dyDescent="0.35">
      <c r="A163" s="17">
        <v>1</v>
      </c>
      <c r="B163" s="22" t="s">
        <v>431</v>
      </c>
      <c r="C163" s="115">
        <f>+C69-C134</f>
        <v>-1503871181</v>
      </c>
      <c r="D163" s="281"/>
    </row>
    <row r="164" spans="1:9" ht="15" customHeight="1" thickBot="1" x14ac:dyDescent="0.35">
      <c r="A164" s="17" t="s">
        <v>17</v>
      </c>
      <c r="B164" s="22" t="s">
        <v>692</v>
      </c>
      <c r="C164" s="115">
        <f>+C93-C159</f>
        <v>1503871181</v>
      </c>
      <c r="F164" s="692"/>
      <c r="G164" s="692"/>
      <c r="H164" s="692"/>
      <c r="I164" s="692"/>
    </row>
  </sheetData>
  <mergeCells count="12">
    <mergeCell ref="A1:C1"/>
    <mergeCell ref="A162:B162"/>
    <mergeCell ref="A7:C7"/>
    <mergeCell ref="A95:C95"/>
    <mergeCell ref="A96:B96"/>
    <mergeCell ref="A161:C161"/>
    <mergeCell ref="D4:I4"/>
    <mergeCell ref="D5:I5"/>
    <mergeCell ref="D3:I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80" fitToHeight="0" orientation="portrait" r:id="rId1"/>
  <headerFooter alignWithMargins="0"/>
  <rowBreaks count="2" manualBreakCount="2">
    <brk id="69" max="2" man="1"/>
    <brk id="94" max="2" man="1"/>
  </rowBreaks>
  <colBreaks count="1" manualBreakCount="1">
    <brk id="9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30" zoomScaleNormal="130" zoomScalePageLayoutView="70" workbookViewId="0">
      <selection activeCell="A2" sqref="A2"/>
    </sheetView>
  </sheetViews>
  <sheetFormatPr defaultColWidth="9.33203125" defaultRowHeight="13.2" x14ac:dyDescent="0.25"/>
  <cols>
    <col min="1" max="1" width="13.77734375" style="94" customWidth="1"/>
    <col min="2" max="2" width="79.109375" style="301" customWidth="1"/>
    <col min="3" max="3" width="25" style="301" customWidth="1"/>
    <col min="4" max="16384" width="9.33203125" style="301"/>
  </cols>
  <sheetData>
    <row r="1" spans="1:3" x14ac:dyDescent="0.25">
      <c r="A1" s="1340" t="str">
        <f>CONCATENATE("18. melléklet"," ",ALAPADATOK!A7," ",ALAPADATOK!B7," ",ALAPADATOK!C7," ",ALAPADATOK!D7," ",ALAPADATOK!E7," ",ALAPADATOK!F7," ",ALAPADATOK!G7," ",ALAPADATOK!H7)</f>
        <v>18. melléklet a …. / 2024. ( .... ) önkormányzati rendelethez</v>
      </c>
      <c r="B1" s="1340"/>
      <c r="C1" s="1340"/>
    </row>
    <row r="2" spans="1:3" s="1" customFormat="1" ht="21.15" customHeight="1" x14ac:dyDescent="0.25">
      <c r="A2" s="75"/>
      <c r="B2" s="76"/>
      <c r="C2" s="211"/>
    </row>
    <row r="3" spans="1:3" s="37" customFormat="1" ht="35.4" customHeight="1" thickBot="1" x14ac:dyDescent="0.3">
      <c r="A3" s="1290" t="s">
        <v>849</v>
      </c>
      <c r="B3" s="1290"/>
      <c r="C3" s="1290"/>
    </row>
    <row r="4" spans="1:3" ht="13.8" thickBot="1" x14ac:dyDescent="0.3">
      <c r="A4" s="172" t="s">
        <v>153</v>
      </c>
      <c r="B4" s="79" t="s">
        <v>50</v>
      </c>
      <c r="C4" s="80" t="s">
        <v>845</v>
      </c>
    </row>
    <row r="5" spans="1:3" s="32" customFormat="1" ht="12.9" customHeight="1" thickBot="1" x14ac:dyDescent="0.3">
      <c r="A5" s="71" t="s">
        <v>382</v>
      </c>
      <c r="B5" s="72" t="s">
        <v>383</v>
      </c>
      <c r="C5" s="73" t="s">
        <v>384</v>
      </c>
    </row>
    <row r="6" spans="1:3" s="32" customFormat="1" ht="15.9" customHeight="1" thickBot="1" x14ac:dyDescent="0.3">
      <c r="A6" s="81"/>
      <c r="B6" s="82" t="s">
        <v>52</v>
      </c>
      <c r="C6" s="83"/>
    </row>
    <row r="7" spans="1:3" s="38" customFormat="1" ht="12.15" customHeight="1" thickBot="1" x14ac:dyDescent="0.3">
      <c r="A7" s="71" t="s">
        <v>16</v>
      </c>
      <c r="B7" s="84" t="s">
        <v>458</v>
      </c>
      <c r="C7" s="124">
        <f>SUM(C8:C18)</f>
        <v>66132861</v>
      </c>
    </row>
    <row r="8" spans="1:3" s="38" customFormat="1" ht="12.15" customHeight="1" x14ac:dyDescent="0.25">
      <c r="A8" s="206" t="s">
        <v>85</v>
      </c>
      <c r="B8" s="7" t="s">
        <v>207</v>
      </c>
      <c r="C8" s="156"/>
    </row>
    <row r="9" spans="1:3" s="38" customFormat="1" ht="12.15" customHeight="1" x14ac:dyDescent="0.25">
      <c r="A9" s="207" t="s">
        <v>86</v>
      </c>
      <c r="B9" s="5" t="s">
        <v>208</v>
      </c>
      <c r="C9" s="114">
        <v>9779000</v>
      </c>
    </row>
    <row r="10" spans="1:3" s="38" customFormat="1" ht="12.15" customHeight="1" x14ac:dyDescent="0.25">
      <c r="A10" s="207" t="s">
        <v>87</v>
      </c>
      <c r="B10" s="5" t="s">
        <v>209</v>
      </c>
      <c r="C10" s="114">
        <v>7815477</v>
      </c>
    </row>
    <row r="11" spans="1:3" s="38" customFormat="1" ht="12.15" customHeight="1" x14ac:dyDescent="0.25">
      <c r="A11" s="207" t="s">
        <v>88</v>
      </c>
      <c r="B11" s="5" t="s">
        <v>210</v>
      </c>
      <c r="C11" s="114"/>
    </row>
    <row r="12" spans="1:3" s="38" customFormat="1" ht="12.15" customHeight="1" x14ac:dyDescent="0.25">
      <c r="A12" s="207" t="s">
        <v>111</v>
      </c>
      <c r="B12" s="5" t="s">
        <v>211</v>
      </c>
      <c r="C12" s="114">
        <v>28177725</v>
      </c>
    </row>
    <row r="13" spans="1:3" s="38" customFormat="1" ht="12.15" customHeight="1" x14ac:dyDescent="0.25">
      <c r="A13" s="207" t="s">
        <v>89</v>
      </c>
      <c r="B13" s="5" t="s">
        <v>331</v>
      </c>
      <c r="C13" s="114">
        <v>9767306</v>
      </c>
    </row>
    <row r="14" spans="1:3" s="38" customFormat="1" ht="12.15" customHeight="1" x14ac:dyDescent="0.25">
      <c r="A14" s="207" t="s">
        <v>90</v>
      </c>
      <c r="B14" s="4" t="s">
        <v>332</v>
      </c>
      <c r="C14" s="114">
        <v>10591353</v>
      </c>
    </row>
    <row r="15" spans="1:3" s="38" customFormat="1" ht="12.15" customHeight="1" x14ac:dyDescent="0.25">
      <c r="A15" s="207" t="s">
        <v>100</v>
      </c>
      <c r="B15" s="5" t="s">
        <v>214</v>
      </c>
      <c r="C15" s="157"/>
    </row>
    <row r="16" spans="1:3" s="39" customFormat="1" ht="12.15" customHeight="1" x14ac:dyDescent="0.25">
      <c r="A16" s="207" t="s">
        <v>101</v>
      </c>
      <c r="B16" s="5" t="s">
        <v>215</v>
      </c>
      <c r="C16" s="122"/>
    </row>
    <row r="17" spans="1:3" s="39" customFormat="1" ht="12.15" customHeight="1" x14ac:dyDescent="0.25">
      <c r="A17" s="207" t="s">
        <v>102</v>
      </c>
      <c r="B17" s="5" t="s">
        <v>388</v>
      </c>
      <c r="C17" s="123"/>
    </row>
    <row r="18" spans="1:3" s="39" customFormat="1" ht="12.15" customHeight="1" thickBot="1" x14ac:dyDescent="0.3">
      <c r="A18" s="207" t="s">
        <v>103</v>
      </c>
      <c r="B18" s="4" t="s">
        <v>216</v>
      </c>
      <c r="C18" s="123">
        <v>2000</v>
      </c>
    </row>
    <row r="19" spans="1:3" s="38" customFormat="1" ht="12.15" customHeight="1" thickBot="1" x14ac:dyDescent="0.3">
      <c r="A19" s="71" t="s">
        <v>17</v>
      </c>
      <c r="B19" s="84" t="s">
        <v>333</v>
      </c>
      <c r="C19" s="124">
        <f>SUM(C20:C22)</f>
        <v>0</v>
      </c>
    </row>
    <row r="20" spans="1:3" s="39" customFormat="1" ht="12.15" customHeight="1" x14ac:dyDescent="0.25">
      <c r="A20" s="207" t="s">
        <v>91</v>
      </c>
      <c r="B20" s="6" t="s">
        <v>185</v>
      </c>
      <c r="C20" s="122"/>
    </row>
    <row r="21" spans="1:3" s="39" customFormat="1" ht="12.15" customHeight="1" x14ac:dyDescent="0.25">
      <c r="A21" s="207" t="s">
        <v>92</v>
      </c>
      <c r="B21" s="5" t="s">
        <v>334</v>
      </c>
      <c r="C21" s="36"/>
    </row>
    <row r="22" spans="1:3" s="39" customFormat="1" ht="12.15" customHeight="1" x14ac:dyDescent="0.25">
      <c r="A22" s="207" t="s">
        <v>93</v>
      </c>
      <c r="B22" s="5" t="s">
        <v>335</v>
      </c>
      <c r="C22" s="36"/>
    </row>
    <row r="23" spans="1:3" s="39" customFormat="1" ht="12.15" customHeight="1" thickBot="1" x14ac:dyDescent="0.3">
      <c r="A23" s="207" t="s">
        <v>94</v>
      </c>
      <c r="B23" s="5" t="s">
        <v>459</v>
      </c>
      <c r="C23" s="36"/>
    </row>
    <row r="24" spans="1:3" s="39" customFormat="1" ht="12.15" customHeight="1" thickBot="1" x14ac:dyDescent="0.3">
      <c r="A24" s="74" t="s">
        <v>18</v>
      </c>
      <c r="B24" s="54" t="s">
        <v>125</v>
      </c>
      <c r="C24" s="142"/>
    </row>
    <row r="25" spans="1:3" s="39" customFormat="1" ht="12.15" customHeight="1" thickBot="1" x14ac:dyDescent="0.3">
      <c r="A25" s="74" t="s">
        <v>19</v>
      </c>
      <c r="B25" s="54" t="s">
        <v>460</v>
      </c>
      <c r="C25" s="124">
        <f>+C26+C27+C28</f>
        <v>0</v>
      </c>
    </row>
    <row r="26" spans="1:3" s="39" customFormat="1" ht="12.15" customHeight="1" x14ac:dyDescent="0.25">
      <c r="A26" s="208" t="s">
        <v>195</v>
      </c>
      <c r="B26" s="209" t="s">
        <v>190</v>
      </c>
      <c r="C26" s="34"/>
    </row>
    <row r="27" spans="1:3" s="39" customFormat="1" ht="12.15" customHeight="1" x14ac:dyDescent="0.25">
      <c r="A27" s="208" t="s">
        <v>198</v>
      </c>
      <c r="B27" s="209" t="s">
        <v>334</v>
      </c>
      <c r="C27" s="122"/>
    </row>
    <row r="28" spans="1:3" s="39" customFormat="1" ht="12.15" customHeight="1" x14ac:dyDescent="0.25">
      <c r="A28" s="208" t="s">
        <v>199</v>
      </c>
      <c r="B28" s="210" t="s">
        <v>336</v>
      </c>
      <c r="C28" s="122"/>
    </row>
    <row r="29" spans="1:3" s="39" customFormat="1" ht="12.15" customHeight="1" thickBot="1" x14ac:dyDescent="0.3">
      <c r="A29" s="207" t="s">
        <v>200</v>
      </c>
      <c r="B29" s="57" t="s">
        <v>461</v>
      </c>
      <c r="C29" s="633"/>
    </row>
    <row r="30" spans="1:3" s="39" customFormat="1" ht="12.15" customHeight="1" thickBot="1" x14ac:dyDescent="0.3">
      <c r="A30" s="74" t="s">
        <v>20</v>
      </c>
      <c r="B30" s="54" t="s">
        <v>337</v>
      </c>
      <c r="C30" s="124">
        <f>+C31+C32+C33</f>
        <v>0</v>
      </c>
    </row>
    <row r="31" spans="1:3" s="39" customFormat="1" ht="12.15" customHeight="1" x14ac:dyDescent="0.25">
      <c r="A31" s="208" t="s">
        <v>78</v>
      </c>
      <c r="B31" s="209" t="s">
        <v>221</v>
      </c>
      <c r="C31" s="34"/>
    </row>
    <row r="32" spans="1:3" s="39" customFormat="1" ht="12.15" customHeight="1" x14ac:dyDescent="0.25">
      <c r="A32" s="208" t="s">
        <v>79</v>
      </c>
      <c r="B32" s="210" t="s">
        <v>222</v>
      </c>
      <c r="C32" s="125"/>
    </row>
    <row r="33" spans="1:3" s="39" customFormat="1" ht="12.15" customHeight="1" thickBot="1" x14ac:dyDescent="0.3">
      <c r="A33" s="207" t="s">
        <v>80</v>
      </c>
      <c r="B33" s="57" t="s">
        <v>223</v>
      </c>
      <c r="C33" s="633"/>
    </row>
    <row r="34" spans="1:3" s="38" customFormat="1" ht="12.15" customHeight="1" thickBot="1" x14ac:dyDescent="0.3">
      <c r="A34" s="74" t="s">
        <v>21</v>
      </c>
      <c r="B34" s="54" t="s">
        <v>309</v>
      </c>
      <c r="C34" s="142"/>
    </row>
    <row r="35" spans="1:3" s="38" customFormat="1" ht="12.15" customHeight="1" thickBot="1" x14ac:dyDescent="0.3">
      <c r="A35" s="74" t="s">
        <v>22</v>
      </c>
      <c r="B35" s="54" t="s">
        <v>338</v>
      </c>
      <c r="C35" s="158"/>
    </row>
    <row r="36" spans="1:3" s="38" customFormat="1" ht="12.15" customHeight="1" thickBot="1" x14ac:dyDescent="0.3">
      <c r="A36" s="71" t="s">
        <v>23</v>
      </c>
      <c r="B36" s="54" t="s">
        <v>339</v>
      </c>
      <c r="C36" s="634">
        <f>+C7+C19+C24+C25+C30+C34+C35</f>
        <v>66132861</v>
      </c>
    </row>
    <row r="37" spans="1:3" s="38" customFormat="1" ht="12.15" customHeight="1" thickBot="1" x14ac:dyDescent="0.3">
      <c r="A37" s="85" t="s">
        <v>24</v>
      </c>
      <c r="B37" s="54" t="s">
        <v>340</v>
      </c>
      <c r="C37" s="634">
        <f>+C38+C39+C40</f>
        <v>328997602</v>
      </c>
    </row>
    <row r="38" spans="1:3" s="38" customFormat="1" ht="12.15" customHeight="1" x14ac:dyDescent="0.25">
      <c r="A38" s="208" t="s">
        <v>341</v>
      </c>
      <c r="B38" s="209" t="s">
        <v>166</v>
      </c>
      <c r="C38" s="114">
        <v>2347904</v>
      </c>
    </row>
    <row r="39" spans="1:3" s="38" customFormat="1" ht="12.15" customHeight="1" x14ac:dyDescent="0.25">
      <c r="A39" s="208" t="s">
        <v>342</v>
      </c>
      <c r="B39" s="210" t="s">
        <v>6</v>
      </c>
      <c r="C39" s="125"/>
    </row>
    <row r="40" spans="1:3" s="39" customFormat="1" ht="12.15" customHeight="1" thickBot="1" x14ac:dyDescent="0.3">
      <c r="A40" s="207" t="s">
        <v>343</v>
      </c>
      <c r="B40" s="57" t="s">
        <v>344</v>
      </c>
      <c r="C40" s="633">
        <v>326649698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395130463</v>
      </c>
    </row>
    <row r="42" spans="1:3" s="39" customFormat="1" ht="15" customHeight="1" x14ac:dyDescent="0.25">
      <c r="A42" s="87"/>
      <c r="B42" s="88"/>
      <c r="C42" s="159"/>
    </row>
    <row r="43" spans="1:3" ht="13.8" thickBot="1" x14ac:dyDescent="0.3">
      <c r="A43" s="89"/>
      <c r="B43" s="90"/>
      <c r="C43" s="160"/>
    </row>
    <row r="44" spans="1:3" s="32" customFormat="1" ht="16.5" customHeight="1" thickBot="1" x14ac:dyDescent="0.3">
      <c r="A44" s="91"/>
      <c r="B44" s="92" t="s">
        <v>53</v>
      </c>
      <c r="C44" s="161"/>
    </row>
    <row r="45" spans="1:3" s="213" customFormat="1" ht="12.15" customHeight="1" thickBot="1" x14ac:dyDescent="0.3">
      <c r="A45" s="74" t="s">
        <v>16</v>
      </c>
      <c r="B45" s="54" t="s">
        <v>346</v>
      </c>
      <c r="C45" s="124">
        <f>SUM(C46:C50)</f>
        <v>395066963</v>
      </c>
    </row>
    <row r="46" spans="1:3" ht="12.15" customHeight="1" x14ac:dyDescent="0.25">
      <c r="A46" s="207" t="s">
        <v>85</v>
      </c>
      <c r="B46" s="6" t="s">
        <v>46</v>
      </c>
      <c r="C46" s="251">
        <v>46876996</v>
      </c>
    </row>
    <row r="47" spans="1:3" ht="12.15" customHeight="1" x14ac:dyDescent="0.25">
      <c r="A47" s="207" t="s">
        <v>86</v>
      </c>
      <c r="B47" s="5" t="s">
        <v>134</v>
      </c>
      <c r="C47" s="114">
        <v>6145088</v>
      </c>
    </row>
    <row r="48" spans="1:3" ht="12.15" customHeight="1" x14ac:dyDescent="0.25">
      <c r="A48" s="207" t="s">
        <v>87</v>
      </c>
      <c r="B48" s="5" t="s">
        <v>110</v>
      </c>
      <c r="C48" s="170">
        <v>342044879</v>
      </c>
    </row>
    <row r="49" spans="1:3" ht="12.15" customHeight="1" x14ac:dyDescent="0.25">
      <c r="A49" s="207" t="s">
        <v>88</v>
      </c>
      <c r="B49" s="5" t="s">
        <v>135</v>
      </c>
      <c r="C49" s="636"/>
    </row>
    <row r="50" spans="1:3" ht="12.15" customHeight="1" thickBot="1" x14ac:dyDescent="0.3">
      <c r="A50" s="207" t="s">
        <v>111</v>
      </c>
      <c r="B50" s="5" t="s">
        <v>136</v>
      </c>
      <c r="C50" s="170"/>
    </row>
    <row r="51" spans="1:3" ht="12.15" customHeight="1" thickBot="1" x14ac:dyDescent="0.3">
      <c r="A51" s="74" t="s">
        <v>17</v>
      </c>
      <c r="B51" s="54" t="s">
        <v>347</v>
      </c>
      <c r="C51" s="124">
        <f>SUM(C52:C54)</f>
        <v>63500</v>
      </c>
    </row>
    <row r="52" spans="1:3" s="213" customFormat="1" ht="12.15" customHeight="1" x14ac:dyDescent="0.25">
      <c r="A52" s="207" t="s">
        <v>91</v>
      </c>
      <c r="B52" s="6" t="s">
        <v>157</v>
      </c>
      <c r="C52" s="214">
        <v>63500</v>
      </c>
    </row>
    <row r="53" spans="1:3" ht="12.15" customHeight="1" x14ac:dyDescent="0.25">
      <c r="A53" s="207" t="s">
        <v>92</v>
      </c>
      <c r="B53" s="5" t="s">
        <v>138</v>
      </c>
      <c r="C53" s="36"/>
    </row>
    <row r="54" spans="1:3" ht="12.15" customHeight="1" x14ac:dyDescent="0.25">
      <c r="A54" s="207" t="s">
        <v>93</v>
      </c>
      <c r="B54" s="5" t="s">
        <v>54</v>
      </c>
      <c r="C54" s="36"/>
    </row>
    <row r="55" spans="1:3" ht="12.15" customHeight="1" thickBot="1" x14ac:dyDescent="0.3">
      <c r="A55" s="207" t="s">
        <v>94</v>
      </c>
      <c r="B55" s="5" t="s">
        <v>462</v>
      </c>
      <c r="C55" s="36"/>
    </row>
    <row r="56" spans="1:3" ht="15" customHeight="1" thickBot="1" x14ac:dyDescent="0.3">
      <c r="A56" s="74" t="s">
        <v>18</v>
      </c>
      <c r="B56" s="54" t="s">
        <v>12</v>
      </c>
      <c r="C56" s="142"/>
    </row>
    <row r="57" spans="1:3" ht="13.8" thickBot="1" x14ac:dyDescent="0.3">
      <c r="A57" s="74" t="s">
        <v>19</v>
      </c>
      <c r="B57" s="93" t="s">
        <v>463</v>
      </c>
      <c r="C57" s="162">
        <f>+C45+C51+C56</f>
        <v>395130463</v>
      </c>
    </row>
    <row r="58" spans="1:3" ht="15" customHeight="1" thickBot="1" x14ac:dyDescent="0.3">
      <c r="C58" s="163"/>
    </row>
    <row r="59" spans="1:3" ht="14.25" customHeight="1" thickBot="1" x14ac:dyDescent="0.3">
      <c r="A59" s="95" t="s">
        <v>456</v>
      </c>
      <c r="B59" s="96"/>
      <c r="C59" s="940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zoomScale="115" zoomScaleNormal="115" workbookViewId="0">
      <selection activeCell="A3" sqref="A3:C3"/>
    </sheetView>
  </sheetViews>
  <sheetFormatPr defaultColWidth="9.33203125" defaultRowHeight="13.2" x14ac:dyDescent="0.25"/>
  <cols>
    <col min="1" max="1" width="13.77734375" style="94" customWidth="1"/>
    <col min="2" max="2" width="79.109375" style="301" customWidth="1"/>
    <col min="3" max="3" width="25" style="301" customWidth="1"/>
    <col min="4" max="16384" width="9.33203125" style="301"/>
  </cols>
  <sheetData>
    <row r="1" spans="1:3" x14ac:dyDescent="0.25">
      <c r="A1" s="1340" t="str">
        <f>CONCATENATE("19. melléklet ",ALAPADATOK!A7," ",ALAPADATOK!B7," ",ALAPADATOK!C7," ",ALAPADATOK!D7," ",ALAPADATOK!E7," ",ALAPADATOK!F7," ",ALAPADATOK!G7," ",ALAPADATOK!H7)</f>
        <v>19. melléklet a …. / 2024. ( .... ) önkormányzati rendelethez</v>
      </c>
      <c r="B1" s="1340"/>
      <c r="C1" s="1340"/>
    </row>
    <row r="2" spans="1:3" s="1" customFormat="1" ht="21.15" customHeight="1" x14ac:dyDescent="0.25">
      <c r="A2" s="75" t="s">
        <v>972</v>
      </c>
      <c r="B2" s="76"/>
      <c r="C2" s="211"/>
    </row>
    <row r="3" spans="1:3" s="1" customFormat="1" ht="21.15" customHeight="1" thickBot="1" x14ac:dyDescent="0.3">
      <c r="A3" s="1290" t="s">
        <v>915</v>
      </c>
      <c r="B3" s="1290"/>
      <c r="C3" s="1290"/>
    </row>
    <row r="4" spans="1:3" s="1" customFormat="1" ht="21.15" customHeight="1" thickBot="1" x14ac:dyDescent="0.3">
      <c r="A4" s="172" t="s">
        <v>153</v>
      </c>
      <c r="B4" s="79" t="s">
        <v>50</v>
      </c>
      <c r="C4" s="80" t="s">
        <v>845</v>
      </c>
    </row>
    <row r="5" spans="1:3" s="32" customFormat="1" ht="12.9" customHeight="1" thickBot="1" x14ac:dyDescent="0.3">
      <c r="A5" s="71" t="s">
        <v>382</v>
      </c>
      <c r="B5" s="72" t="s">
        <v>383</v>
      </c>
      <c r="C5" s="73" t="s">
        <v>384</v>
      </c>
    </row>
    <row r="6" spans="1:3" s="32" customFormat="1" ht="15.9" customHeight="1" thickBot="1" x14ac:dyDescent="0.3">
      <c r="A6" s="81"/>
      <c r="B6" s="82" t="s">
        <v>52</v>
      </c>
      <c r="C6" s="83"/>
    </row>
    <row r="7" spans="1:3" s="38" customFormat="1" ht="12.15" customHeight="1" thickBot="1" x14ac:dyDescent="0.3">
      <c r="A7" s="71" t="s">
        <v>16</v>
      </c>
      <c r="B7" s="84" t="s">
        <v>458</v>
      </c>
      <c r="C7" s="124">
        <f>SUM(C8:C18)</f>
        <v>0</v>
      </c>
    </row>
    <row r="8" spans="1:3" s="38" customFormat="1" ht="12.15" customHeight="1" x14ac:dyDescent="0.25">
      <c r="A8" s="206" t="s">
        <v>85</v>
      </c>
      <c r="B8" s="7" t="s">
        <v>207</v>
      </c>
      <c r="C8" s="156"/>
    </row>
    <row r="9" spans="1:3" s="38" customFormat="1" ht="12.15" customHeight="1" x14ac:dyDescent="0.25">
      <c r="A9" s="207" t="s">
        <v>86</v>
      </c>
      <c r="B9" s="5" t="s">
        <v>208</v>
      </c>
      <c r="C9" s="36"/>
    </row>
    <row r="10" spans="1:3" s="38" customFormat="1" ht="12.15" customHeight="1" x14ac:dyDescent="0.25">
      <c r="A10" s="207" t="s">
        <v>87</v>
      </c>
      <c r="B10" s="5" t="s">
        <v>209</v>
      </c>
      <c r="C10" s="36"/>
    </row>
    <row r="11" spans="1:3" s="38" customFormat="1" ht="12.15" customHeight="1" x14ac:dyDescent="0.25">
      <c r="A11" s="207" t="s">
        <v>88</v>
      </c>
      <c r="B11" s="5" t="s">
        <v>210</v>
      </c>
      <c r="C11" s="36"/>
    </row>
    <row r="12" spans="1:3" s="38" customFormat="1" ht="12.15" customHeight="1" x14ac:dyDescent="0.25">
      <c r="A12" s="207" t="s">
        <v>111</v>
      </c>
      <c r="B12" s="5" t="s">
        <v>211</v>
      </c>
      <c r="C12" s="36"/>
    </row>
    <row r="13" spans="1:3" s="38" customFormat="1" ht="12.15" customHeight="1" x14ac:dyDescent="0.25">
      <c r="A13" s="207" t="s">
        <v>89</v>
      </c>
      <c r="B13" s="5" t="s">
        <v>331</v>
      </c>
      <c r="C13" s="36"/>
    </row>
    <row r="14" spans="1:3" s="38" customFormat="1" ht="12.15" customHeight="1" x14ac:dyDescent="0.25">
      <c r="A14" s="207" t="s">
        <v>90</v>
      </c>
      <c r="B14" s="4" t="s">
        <v>332</v>
      </c>
      <c r="C14" s="36"/>
    </row>
    <row r="15" spans="1:3" s="38" customFormat="1" ht="12.15" customHeight="1" x14ac:dyDescent="0.25">
      <c r="A15" s="207" t="s">
        <v>100</v>
      </c>
      <c r="B15" s="5" t="s">
        <v>214</v>
      </c>
      <c r="C15" s="125"/>
    </row>
    <row r="16" spans="1:3" s="39" customFormat="1" ht="12.15" customHeight="1" x14ac:dyDescent="0.25">
      <c r="A16" s="207" t="s">
        <v>101</v>
      </c>
      <c r="B16" s="5" t="s">
        <v>215</v>
      </c>
      <c r="C16" s="36"/>
    </row>
    <row r="17" spans="1:3" s="39" customFormat="1" ht="12.15" customHeight="1" x14ac:dyDescent="0.25">
      <c r="A17" s="207" t="s">
        <v>102</v>
      </c>
      <c r="B17" s="5" t="s">
        <v>388</v>
      </c>
      <c r="C17" s="389"/>
    </row>
    <row r="18" spans="1:3" s="39" customFormat="1" ht="12.15" customHeight="1" thickBot="1" x14ac:dyDescent="0.3">
      <c r="A18" s="207" t="s">
        <v>103</v>
      </c>
      <c r="B18" s="4" t="s">
        <v>216</v>
      </c>
      <c r="C18" s="389"/>
    </row>
    <row r="19" spans="1:3" s="38" customFormat="1" ht="12.15" customHeight="1" thickBot="1" x14ac:dyDescent="0.3">
      <c r="A19" s="71" t="s">
        <v>17</v>
      </c>
      <c r="B19" s="84" t="s">
        <v>333</v>
      </c>
      <c r="C19" s="124">
        <f>SUM(C20:C22)</f>
        <v>0</v>
      </c>
    </row>
    <row r="20" spans="1:3" s="39" customFormat="1" ht="12.15" customHeight="1" x14ac:dyDescent="0.25">
      <c r="A20" s="207" t="s">
        <v>91</v>
      </c>
      <c r="B20" s="6" t="s">
        <v>185</v>
      </c>
      <c r="C20" s="122"/>
    </row>
    <row r="21" spans="1:3" s="39" customFormat="1" ht="12.15" customHeight="1" x14ac:dyDescent="0.25">
      <c r="A21" s="207" t="s">
        <v>92</v>
      </c>
      <c r="B21" s="5" t="s">
        <v>334</v>
      </c>
      <c r="C21" s="36"/>
    </row>
    <row r="22" spans="1:3" s="39" customFormat="1" ht="12.15" customHeight="1" x14ac:dyDescent="0.25">
      <c r="A22" s="207" t="s">
        <v>93</v>
      </c>
      <c r="B22" s="5" t="s">
        <v>335</v>
      </c>
      <c r="C22" s="636"/>
    </row>
    <row r="23" spans="1:3" s="39" customFormat="1" ht="12.15" customHeight="1" thickBot="1" x14ac:dyDescent="0.3">
      <c r="A23" s="207" t="s">
        <v>94</v>
      </c>
      <c r="B23" s="5" t="s">
        <v>459</v>
      </c>
      <c r="C23" s="36"/>
    </row>
    <row r="24" spans="1:3" s="39" customFormat="1" ht="12.15" customHeight="1" thickBot="1" x14ac:dyDescent="0.3">
      <c r="A24" s="74" t="s">
        <v>18</v>
      </c>
      <c r="B24" s="54" t="s">
        <v>125</v>
      </c>
      <c r="C24" s="142"/>
    </row>
    <row r="25" spans="1:3" s="39" customFormat="1" ht="12.15" customHeight="1" thickBot="1" x14ac:dyDescent="0.3">
      <c r="A25" s="74" t="s">
        <v>19</v>
      </c>
      <c r="B25" s="54" t="s">
        <v>460</v>
      </c>
      <c r="C25" s="124">
        <f>+C26+C27+C28</f>
        <v>0</v>
      </c>
    </row>
    <row r="26" spans="1:3" s="39" customFormat="1" ht="12.15" customHeight="1" x14ac:dyDescent="0.25">
      <c r="A26" s="208" t="s">
        <v>195</v>
      </c>
      <c r="B26" s="209" t="s">
        <v>190</v>
      </c>
      <c r="C26" s="34"/>
    </row>
    <row r="27" spans="1:3" s="39" customFormat="1" ht="12.15" customHeight="1" x14ac:dyDescent="0.25">
      <c r="A27" s="208" t="s">
        <v>198</v>
      </c>
      <c r="B27" s="209" t="s">
        <v>334</v>
      </c>
      <c r="C27" s="122"/>
    </row>
    <row r="28" spans="1:3" s="39" customFormat="1" ht="12.15" customHeight="1" x14ac:dyDescent="0.25">
      <c r="A28" s="208" t="s">
        <v>199</v>
      </c>
      <c r="B28" s="210" t="s">
        <v>336</v>
      </c>
      <c r="C28" s="122"/>
    </row>
    <row r="29" spans="1:3" s="39" customFormat="1" ht="12.15" customHeight="1" thickBot="1" x14ac:dyDescent="0.3">
      <c r="A29" s="207" t="s">
        <v>200</v>
      </c>
      <c r="B29" s="57" t="s">
        <v>461</v>
      </c>
      <c r="C29" s="633"/>
    </row>
    <row r="30" spans="1:3" s="39" customFormat="1" ht="12.15" customHeight="1" thickBot="1" x14ac:dyDescent="0.3">
      <c r="A30" s="74" t="s">
        <v>20</v>
      </c>
      <c r="B30" s="54" t="s">
        <v>337</v>
      </c>
      <c r="C30" s="124">
        <f>+C31+C32+C33</f>
        <v>0</v>
      </c>
    </row>
    <row r="31" spans="1:3" s="39" customFormat="1" ht="12.15" customHeight="1" x14ac:dyDescent="0.25">
      <c r="A31" s="208" t="s">
        <v>78</v>
      </c>
      <c r="B31" s="209" t="s">
        <v>221</v>
      </c>
      <c r="C31" s="34"/>
    </row>
    <row r="32" spans="1:3" s="39" customFormat="1" ht="12.15" customHeight="1" x14ac:dyDescent="0.25">
      <c r="A32" s="208" t="s">
        <v>79</v>
      </c>
      <c r="B32" s="210" t="s">
        <v>222</v>
      </c>
      <c r="C32" s="125"/>
    </row>
    <row r="33" spans="1:3" s="39" customFormat="1" ht="12.15" customHeight="1" thickBot="1" x14ac:dyDescent="0.3">
      <c r="A33" s="207" t="s">
        <v>80</v>
      </c>
      <c r="B33" s="57" t="s">
        <v>223</v>
      </c>
      <c r="C33" s="633"/>
    </row>
    <row r="34" spans="1:3" s="38" customFormat="1" ht="12.15" customHeight="1" thickBot="1" x14ac:dyDescent="0.3">
      <c r="A34" s="74" t="s">
        <v>21</v>
      </c>
      <c r="B34" s="54" t="s">
        <v>309</v>
      </c>
      <c r="C34" s="142"/>
    </row>
    <row r="35" spans="1:3" s="38" customFormat="1" ht="12.15" customHeight="1" thickBot="1" x14ac:dyDescent="0.3">
      <c r="A35" s="74" t="s">
        <v>22</v>
      </c>
      <c r="B35" s="54" t="s">
        <v>338</v>
      </c>
      <c r="C35" s="158"/>
    </row>
    <row r="36" spans="1:3" s="38" customFormat="1" ht="12.15" customHeight="1" thickBot="1" x14ac:dyDescent="0.3">
      <c r="A36" s="71" t="s">
        <v>23</v>
      </c>
      <c r="B36" s="54" t="s">
        <v>339</v>
      </c>
      <c r="C36" s="634">
        <f>+C7+C19+C24+C25+C30+C34+C35</f>
        <v>0</v>
      </c>
    </row>
    <row r="37" spans="1:3" s="38" customFormat="1" ht="12.15" customHeight="1" thickBot="1" x14ac:dyDescent="0.3">
      <c r="A37" s="85" t="s">
        <v>24</v>
      </c>
      <c r="B37" s="54" t="s">
        <v>340</v>
      </c>
      <c r="C37" s="634">
        <f>+C38+C39+C40</f>
        <v>0</v>
      </c>
    </row>
    <row r="38" spans="1:3" s="38" customFormat="1" ht="12.15" customHeight="1" x14ac:dyDescent="0.25">
      <c r="A38" s="208" t="s">
        <v>341</v>
      </c>
      <c r="B38" s="209" t="s">
        <v>166</v>
      </c>
      <c r="C38" s="34"/>
    </row>
    <row r="39" spans="1:3" s="38" customFormat="1" ht="12.15" customHeight="1" x14ac:dyDescent="0.25">
      <c r="A39" s="208" t="s">
        <v>342</v>
      </c>
      <c r="B39" s="210" t="s">
        <v>6</v>
      </c>
      <c r="C39" s="125"/>
    </row>
    <row r="40" spans="1:3" s="39" customFormat="1" ht="12.15" customHeight="1" thickBot="1" x14ac:dyDescent="0.3">
      <c r="A40" s="207" t="s">
        <v>343</v>
      </c>
      <c r="B40" s="57" t="s">
        <v>344</v>
      </c>
      <c r="C40" s="633"/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0</v>
      </c>
    </row>
    <row r="42" spans="1:3" s="39" customFormat="1" ht="15" customHeight="1" x14ac:dyDescent="0.25">
      <c r="A42" s="87"/>
      <c r="B42" s="88"/>
      <c r="C42" s="159"/>
    </row>
    <row r="43" spans="1:3" ht="13.8" thickBot="1" x14ac:dyDescent="0.3">
      <c r="A43" s="89"/>
      <c r="B43" s="90"/>
      <c r="C43" s="160"/>
    </row>
    <row r="44" spans="1:3" s="32" customFormat="1" ht="16.5" customHeight="1" thickBot="1" x14ac:dyDescent="0.3">
      <c r="A44" s="91"/>
      <c r="B44" s="92" t="s">
        <v>53</v>
      </c>
      <c r="C44" s="161"/>
    </row>
    <row r="45" spans="1:3" s="213" customFormat="1" ht="12.15" customHeight="1" thickBot="1" x14ac:dyDescent="0.3">
      <c r="A45" s="74" t="s">
        <v>16</v>
      </c>
      <c r="B45" s="54" t="s">
        <v>346</v>
      </c>
      <c r="C45" s="124">
        <f>SUM(C46:C50)</f>
        <v>0</v>
      </c>
    </row>
    <row r="46" spans="1:3" ht="12.15" customHeight="1" x14ac:dyDescent="0.25">
      <c r="A46" s="207" t="s">
        <v>85</v>
      </c>
      <c r="B46" s="6" t="s">
        <v>46</v>
      </c>
      <c r="C46" s="635"/>
    </row>
    <row r="47" spans="1:3" ht="12.15" customHeight="1" x14ac:dyDescent="0.25">
      <c r="A47" s="207" t="s">
        <v>86</v>
      </c>
      <c r="B47" s="5" t="s">
        <v>134</v>
      </c>
      <c r="C47" s="114"/>
    </row>
    <row r="48" spans="1:3" ht="12.15" customHeight="1" x14ac:dyDescent="0.25">
      <c r="A48" s="207" t="s">
        <v>87</v>
      </c>
      <c r="B48" s="5" t="s">
        <v>110</v>
      </c>
      <c r="C48" s="170"/>
    </row>
    <row r="49" spans="1:3" ht="12.15" customHeight="1" x14ac:dyDescent="0.25">
      <c r="A49" s="207" t="s">
        <v>88</v>
      </c>
      <c r="B49" s="5" t="s">
        <v>135</v>
      </c>
      <c r="C49" s="36"/>
    </row>
    <row r="50" spans="1:3" ht="12.15" customHeight="1" thickBot="1" x14ac:dyDescent="0.3">
      <c r="A50" s="207" t="s">
        <v>111</v>
      </c>
      <c r="B50" s="5" t="s">
        <v>136</v>
      </c>
      <c r="C50" s="36"/>
    </row>
    <row r="51" spans="1:3" ht="12.15" customHeight="1" thickBot="1" x14ac:dyDescent="0.3">
      <c r="A51" s="74" t="s">
        <v>17</v>
      </c>
      <c r="B51" s="54" t="s">
        <v>347</v>
      </c>
      <c r="C51" s="124">
        <f>SUM(C52:C54)</f>
        <v>0</v>
      </c>
    </row>
    <row r="52" spans="1:3" s="213" customFormat="1" ht="12.15" customHeight="1" x14ac:dyDescent="0.25">
      <c r="A52" s="207" t="s">
        <v>91</v>
      </c>
      <c r="B52" s="6" t="s">
        <v>157</v>
      </c>
      <c r="C52" s="635"/>
    </row>
    <row r="53" spans="1:3" ht="12.15" customHeight="1" x14ac:dyDescent="0.25">
      <c r="A53" s="207" t="s">
        <v>92</v>
      </c>
      <c r="B53" s="5" t="s">
        <v>138</v>
      </c>
      <c r="C53" s="36"/>
    </row>
    <row r="54" spans="1:3" ht="12.15" customHeight="1" x14ac:dyDescent="0.25">
      <c r="A54" s="207" t="s">
        <v>93</v>
      </c>
      <c r="B54" s="5" t="s">
        <v>54</v>
      </c>
      <c r="C54" s="36"/>
    </row>
    <row r="55" spans="1:3" ht="12.15" customHeight="1" thickBot="1" x14ac:dyDescent="0.3">
      <c r="A55" s="207" t="s">
        <v>94</v>
      </c>
      <c r="B55" s="5" t="s">
        <v>462</v>
      </c>
      <c r="C55" s="36"/>
    </row>
    <row r="56" spans="1:3" ht="15" customHeight="1" thickBot="1" x14ac:dyDescent="0.3">
      <c r="A56" s="74" t="s">
        <v>18</v>
      </c>
      <c r="B56" s="54" t="s">
        <v>12</v>
      </c>
      <c r="C56" s="142"/>
    </row>
    <row r="57" spans="1:3" ht="13.8" thickBot="1" x14ac:dyDescent="0.3">
      <c r="A57" s="74" t="s">
        <v>19</v>
      </c>
      <c r="B57" s="93" t="s">
        <v>463</v>
      </c>
      <c r="C57" s="162">
        <f>+C45+C51+C56</f>
        <v>0</v>
      </c>
    </row>
    <row r="58" spans="1:3" ht="15" customHeight="1" thickBot="1" x14ac:dyDescent="0.3">
      <c r="C58" s="163"/>
    </row>
    <row r="59" spans="1:3" ht="14.25" customHeight="1" thickBot="1" x14ac:dyDescent="0.3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60"/>
  <sheetViews>
    <sheetView zoomScale="115" zoomScaleNormal="115" workbookViewId="0">
      <selection activeCell="A2" sqref="A2"/>
    </sheetView>
  </sheetViews>
  <sheetFormatPr defaultColWidth="9.33203125" defaultRowHeight="13.2" x14ac:dyDescent="0.25"/>
  <cols>
    <col min="1" max="1" width="13.77734375" style="94" customWidth="1"/>
    <col min="2" max="2" width="79.109375" style="301" customWidth="1"/>
    <col min="3" max="3" width="25" style="301" customWidth="1"/>
    <col min="4" max="16384" width="9.33203125" style="301"/>
  </cols>
  <sheetData>
    <row r="1" spans="1:3" x14ac:dyDescent="0.25">
      <c r="A1" s="1340" t="str">
        <f>CONCATENATE("14. melléklet"," ",ALAPADATOK!A7," ",ALAPADATOK!B7," ",ALAPADATOK!C7," ",ALAPADATOK!D7," ",ALAPADATOK!E7," ",ALAPADATOK!F7," ",ALAPADATOK!G7," ",ALAPADATOK!H7)</f>
        <v>14. melléklet a …. / 2024. ( .... ) önkormányzati rendelethez</v>
      </c>
      <c r="B1" s="1340"/>
      <c r="C1" s="1340"/>
    </row>
    <row r="2" spans="1:3" s="1" customFormat="1" ht="21.15" customHeight="1" x14ac:dyDescent="0.25">
      <c r="A2" s="75"/>
      <c r="B2" s="76"/>
      <c r="C2" s="211"/>
    </row>
    <row r="3" spans="1:3" s="37" customFormat="1" ht="33.75" customHeight="1" thickBot="1" x14ac:dyDescent="0.3">
      <c r="A3" s="1290" t="s">
        <v>850</v>
      </c>
      <c r="B3" s="1290"/>
      <c r="C3" s="1290"/>
    </row>
    <row r="4" spans="1:3" ht="13.8" thickBot="1" x14ac:dyDescent="0.3">
      <c r="A4" s="172" t="s">
        <v>153</v>
      </c>
      <c r="B4" s="79" t="s">
        <v>50</v>
      </c>
      <c r="C4" s="80" t="s">
        <v>845</v>
      </c>
    </row>
    <row r="5" spans="1:3" s="32" customFormat="1" ht="12.9" customHeight="1" thickBot="1" x14ac:dyDescent="0.3">
      <c r="A5" s="71" t="s">
        <v>382</v>
      </c>
      <c r="B5" s="72" t="s">
        <v>383</v>
      </c>
      <c r="C5" s="73" t="s">
        <v>384</v>
      </c>
    </row>
    <row r="6" spans="1:3" s="32" customFormat="1" ht="15.9" customHeight="1" thickBot="1" x14ac:dyDescent="0.3">
      <c r="A6" s="81"/>
      <c r="B6" s="82" t="s">
        <v>52</v>
      </c>
      <c r="C6" s="83"/>
    </row>
    <row r="7" spans="1:3" s="38" customFormat="1" ht="12.15" customHeight="1" thickBot="1" x14ac:dyDescent="0.3">
      <c r="A7" s="71" t="s">
        <v>16</v>
      </c>
      <c r="B7" s="84" t="s">
        <v>458</v>
      </c>
      <c r="C7" s="124">
        <f>SUM(C8:C18)</f>
        <v>100000</v>
      </c>
    </row>
    <row r="8" spans="1:3" s="38" customFormat="1" ht="12.15" customHeight="1" x14ac:dyDescent="0.25">
      <c r="A8" s="206" t="s">
        <v>85</v>
      </c>
      <c r="B8" s="7" t="s">
        <v>207</v>
      </c>
      <c r="C8" s="156"/>
    </row>
    <row r="9" spans="1:3" s="38" customFormat="1" ht="12.15" customHeight="1" x14ac:dyDescent="0.25">
      <c r="A9" s="207" t="s">
        <v>86</v>
      </c>
      <c r="B9" s="5" t="s">
        <v>208</v>
      </c>
      <c r="C9" s="36"/>
    </row>
    <row r="10" spans="1:3" s="38" customFormat="1" ht="12.15" customHeight="1" x14ac:dyDescent="0.25">
      <c r="A10" s="207" t="s">
        <v>87</v>
      </c>
      <c r="B10" s="5" t="s">
        <v>209</v>
      </c>
      <c r="C10" s="36"/>
    </row>
    <row r="11" spans="1:3" s="38" customFormat="1" ht="12.15" customHeight="1" x14ac:dyDescent="0.25">
      <c r="A11" s="207" t="s">
        <v>88</v>
      </c>
      <c r="B11" s="5" t="s">
        <v>210</v>
      </c>
      <c r="C11" s="36"/>
    </row>
    <row r="12" spans="1:3" s="38" customFormat="1" ht="12.15" customHeight="1" x14ac:dyDescent="0.25">
      <c r="A12" s="207" t="s">
        <v>111</v>
      </c>
      <c r="B12" s="5" t="s">
        <v>211</v>
      </c>
      <c r="C12" s="36"/>
    </row>
    <row r="13" spans="1:3" s="38" customFormat="1" ht="12.15" customHeight="1" x14ac:dyDescent="0.25">
      <c r="A13" s="207" t="s">
        <v>89</v>
      </c>
      <c r="B13" s="5" t="s">
        <v>331</v>
      </c>
      <c r="C13" s="36"/>
    </row>
    <row r="14" spans="1:3" s="38" customFormat="1" ht="12.15" customHeight="1" x14ac:dyDescent="0.25">
      <c r="A14" s="207" t="s">
        <v>90</v>
      </c>
      <c r="B14" s="4" t="s">
        <v>332</v>
      </c>
      <c r="C14" s="36"/>
    </row>
    <row r="15" spans="1:3" s="38" customFormat="1" ht="12.15" customHeight="1" x14ac:dyDescent="0.25">
      <c r="A15" s="207" t="s">
        <v>100</v>
      </c>
      <c r="B15" s="5" t="s">
        <v>214</v>
      </c>
      <c r="C15" s="125"/>
    </row>
    <row r="16" spans="1:3" s="39" customFormat="1" ht="12.15" customHeight="1" x14ac:dyDescent="0.25">
      <c r="A16" s="207" t="s">
        <v>101</v>
      </c>
      <c r="B16" s="5" t="s">
        <v>215</v>
      </c>
      <c r="C16" s="36"/>
    </row>
    <row r="17" spans="1:3" s="39" customFormat="1" ht="12.15" customHeight="1" x14ac:dyDescent="0.25">
      <c r="A17" s="207" t="s">
        <v>102</v>
      </c>
      <c r="B17" s="5" t="s">
        <v>388</v>
      </c>
      <c r="C17" s="389"/>
    </row>
    <row r="18" spans="1:3" s="39" customFormat="1" ht="12.15" customHeight="1" thickBot="1" x14ac:dyDescent="0.3">
      <c r="A18" s="207" t="s">
        <v>103</v>
      </c>
      <c r="B18" s="4" t="s">
        <v>216</v>
      </c>
      <c r="C18" s="389">
        <v>100000</v>
      </c>
    </row>
    <row r="19" spans="1:3" s="38" customFormat="1" ht="12.15" customHeight="1" thickBot="1" x14ac:dyDescent="0.3">
      <c r="A19" s="71" t="s">
        <v>17</v>
      </c>
      <c r="B19" s="84" t="s">
        <v>333</v>
      </c>
      <c r="C19" s="124">
        <f>SUM(C20:C22)</f>
        <v>0</v>
      </c>
    </row>
    <row r="20" spans="1:3" s="39" customFormat="1" ht="12.15" customHeight="1" x14ac:dyDescent="0.25">
      <c r="A20" s="207" t="s">
        <v>91</v>
      </c>
      <c r="B20" s="6" t="s">
        <v>185</v>
      </c>
      <c r="C20" s="122"/>
    </row>
    <row r="21" spans="1:3" s="39" customFormat="1" ht="12.15" customHeight="1" x14ac:dyDescent="0.25">
      <c r="A21" s="207" t="s">
        <v>92</v>
      </c>
      <c r="B21" s="5" t="s">
        <v>334</v>
      </c>
      <c r="C21" s="36"/>
    </row>
    <row r="22" spans="1:3" s="39" customFormat="1" ht="12.15" customHeight="1" x14ac:dyDescent="0.25">
      <c r="A22" s="207" t="s">
        <v>93</v>
      </c>
      <c r="B22" s="5" t="s">
        <v>335</v>
      </c>
      <c r="C22" s="36"/>
    </row>
    <row r="23" spans="1:3" s="39" customFormat="1" ht="12.15" customHeight="1" thickBot="1" x14ac:dyDescent="0.3">
      <c r="A23" s="207" t="s">
        <v>94</v>
      </c>
      <c r="B23" s="5" t="s">
        <v>459</v>
      </c>
      <c r="C23" s="36"/>
    </row>
    <row r="24" spans="1:3" s="39" customFormat="1" ht="12.15" customHeight="1" thickBot="1" x14ac:dyDescent="0.3">
      <c r="A24" s="74" t="s">
        <v>18</v>
      </c>
      <c r="B24" s="54" t="s">
        <v>125</v>
      </c>
      <c r="C24" s="142"/>
    </row>
    <row r="25" spans="1:3" s="39" customFormat="1" ht="12.15" customHeight="1" thickBot="1" x14ac:dyDescent="0.3">
      <c r="A25" s="74" t="s">
        <v>19</v>
      </c>
      <c r="B25" s="54" t="s">
        <v>460</v>
      </c>
      <c r="C25" s="124">
        <f>+C26+C27+C28</f>
        <v>0</v>
      </c>
    </row>
    <row r="26" spans="1:3" s="39" customFormat="1" ht="12.15" customHeight="1" x14ac:dyDescent="0.25">
      <c r="A26" s="208" t="s">
        <v>195</v>
      </c>
      <c r="B26" s="209" t="s">
        <v>190</v>
      </c>
      <c r="C26" s="34"/>
    </row>
    <row r="27" spans="1:3" s="39" customFormat="1" ht="12.15" customHeight="1" x14ac:dyDescent="0.25">
      <c r="A27" s="208" t="s">
        <v>198</v>
      </c>
      <c r="B27" s="209" t="s">
        <v>334</v>
      </c>
      <c r="C27" s="122"/>
    </row>
    <row r="28" spans="1:3" s="39" customFormat="1" ht="12.15" customHeight="1" x14ac:dyDescent="0.25">
      <c r="A28" s="208" t="s">
        <v>199</v>
      </c>
      <c r="B28" s="210" t="s">
        <v>336</v>
      </c>
      <c r="C28" s="122"/>
    </row>
    <row r="29" spans="1:3" s="39" customFormat="1" ht="12.15" customHeight="1" thickBot="1" x14ac:dyDescent="0.3">
      <c r="A29" s="207" t="s">
        <v>200</v>
      </c>
      <c r="B29" s="57" t="s">
        <v>461</v>
      </c>
      <c r="C29" s="633"/>
    </row>
    <row r="30" spans="1:3" s="39" customFormat="1" ht="12.15" customHeight="1" thickBot="1" x14ac:dyDescent="0.3">
      <c r="A30" s="74" t="s">
        <v>20</v>
      </c>
      <c r="B30" s="54" t="s">
        <v>337</v>
      </c>
      <c r="C30" s="124">
        <f>+C31+C32+C33</f>
        <v>0</v>
      </c>
    </row>
    <row r="31" spans="1:3" s="39" customFormat="1" ht="12.15" customHeight="1" x14ac:dyDescent="0.25">
      <c r="A31" s="208" t="s">
        <v>78</v>
      </c>
      <c r="B31" s="209" t="s">
        <v>221</v>
      </c>
      <c r="C31" s="34"/>
    </row>
    <row r="32" spans="1:3" s="39" customFormat="1" ht="12.15" customHeight="1" x14ac:dyDescent="0.25">
      <c r="A32" s="208" t="s">
        <v>79</v>
      </c>
      <c r="B32" s="210" t="s">
        <v>222</v>
      </c>
      <c r="C32" s="125"/>
    </row>
    <row r="33" spans="1:4" s="39" customFormat="1" ht="12.15" customHeight="1" thickBot="1" x14ac:dyDescent="0.3">
      <c r="A33" s="207" t="s">
        <v>80</v>
      </c>
      <c r="B33" s="57" t="s">
        <v>223</v>
      </c>
      <c r="C33" s="633"/>
    </row>
    <row r="34" spans="1:4" s="38" customFormat="1" ht="12.15" customHeight="1" thickBot="1" x14ac:dyDescent="0.3">
      <c r="A34" s="74" t="s">
        <v>21</v>
      </c>
      <c r="B34" s="54" t="s">
        <v>309</v>
      </c>
      <c r="C34" s="142"/>
    </row>
    <row r="35" spans="1:4" s="38" customFormat="1" ht="12.15" customHeight="1" thickBot="1" x14ac:dyDescent="0.3">
      <c r="A35" s="74" t="s">
        <v>22</v>
      </c>
      <c r="B35" s="54" t="s">
        <v>338</v>
      </c>
      <c r="C35" s="158"/>
    </row>
    <row r="36" spans="1:4" s="38" customFormat="1" ht="12.15" customHeight="1" thickBot="1" x14ac:dyDescent="0.3">
      <c r="A36" s="71" t="s">
        <v>23</v>
      </c>
      <c r="B36" s="54" t="s">
        <v>339</v>
      </c>
      <c r="C36" s="634">
        <f>+C7+C19+C24+C25+C30+C34+C35</f>
        <v>100000</v>
      </c>
    </row>
    <row r="37" spans="1:4" s="38" customFormat="1" ht="12.15" customHeight="1" thickBot="1" x14ac:dyDescent="0.3">
      <c r="A37" s="85" t="s">
        <v>24</v>
      </c>
      <c r="B37" s="54" t="s">
        <v>340</v>
      </c>
      <c r="C37" s="634">
        <f>+C38+C39+C40</f>
        <v>338411681</v>
      </c>
    </row>
    <row r="38" spans="1:4" s="38" customFormat="1" ht="12.15" customHeight="1" x14ac:dyDescent="0.25">
      <c r="A38" s="208" t="s">
        <v>341</v>
      </c>
      <c r="B38" s="209" t="s">
        <v>166</v>
      </c>
      <c r="C38" s="34"/>
      <c r="D38" s="253"/>
    </row>
    <row r="39" spans="1:4" s="38" customFormat="1" ht="12.15" customHeight="1" x14ac:dyDescent="0.25">
      <c r="A39" s="208" t="s">
        <v>342</v>
      </c>
      <c r="B39" s="210" t="s">
        <v>6</v>
      </c>
      <c r="C39" s="125"/>
    </row>
    <row r="40" spans="1:4" s="39" customFormat="1" ht="12.15" customHeight="1" thickBot="1" x14ac:dyDescent="0.3">
      <c r="A40" s="207" t="s">
        <v>343</v>
      </c>
      <c r="B40" s="57" t="s">
        <v>344</v>
      </c>
      <c r="C40" s="799">
        <f>327394011+11017670</f>
        <v>338411681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338511681</v>
      </c>
    </row>
    <row r="42" spans="1:4" s="39" customFormat="1" ht="15" customHeight="1" x14ac:dyDescent="0.25">
      <c r="A42" s="87"/>
      <c r="B42" s="88"/>
      <c r="C42" s="159"/>
    </row>
    <row r="43" spans="1:4" ht="13.8" thickBot="1" x14ac:dyDescent="0.3">
      <c r="A43" s="89"/>
      <c r="B43" s="90"/>
      <c r="C43" s="160"/>
    </row>
    <row r="44" spans="1:4" s="32" customFormat="1" ht="16.5" customHeight="1" thickBot="1" x14ac:dyDescent="0.3">
      <c r="A44" s="91"/>
      <c r="B44" s="92" t="s">
        <v>53</v>
      </c>
      <c r="C44" s="161"/>
    </row>
    <row r="45" spans="1:4" s="213" customFormat="1" ht="12.15" customHeight="1" thickBot="1" x14ac:dyDescent="0.3">
      <c r="A45" s="74" t="s">
        <v>16</v>
      </c>
      <c r="B45" s="54" t="s">
        <v>346</v>
      </c>
      <c r="C45" s="124">
        <f>SUM(C46:C50)</f>
        <v>332788683</v>
      </c>
    </row>
    <row r="46" spans="1:4" ht="12.15" customHeight="1" x14ac:dyDescent="0.25">
      <c r="A46" s="207" t="s">
        <v>85</v>
      </c>
      <c r="B46" s="6" t="s">
        <v>46</v>
      </c>
      <c r="C46" s="251">
        <v>233396731</v>
      </c>
    </row>
    <row r="47" spans="1:4" ht="12.15" customHeight="1" x14ac:dyDescent="0.25">
      <c r="A47" s="207" t="s">
        <v>86</v>
      </c>
      <c r="B47" s="5" t="s">
        <v>134</v>
      </c>
      <c r="C47" s="114">
        <v>36476750</v>
      </c>
    </row>
    <row r="48" spans="1:4" ht="12.15" customHeight="1" x14ac:dyDescent="0.25">
      <c r="A48" s="207" t="s">
        <v>87</v>
      </c>
      <c r="B48" s="5" t="s">
        <v>110</v>
      </c>
      <c r="C48" s="1250">
        <f>51897532+11017670</f>
        <v>62915202</v>
      </c>
    </row>
    <row r="49" spans="1:3" ht="12.15" customHeight="1" x14ac:dyDescent="0.25">
      <c r="A49" s="207" t="s">
        <v>88</v>
      </c>
      <c r="B49" s="5" t="s">
        <v>135</v>
      </c>
      <c r="C49" s="36"/>
    </row>
    <row r="50" spans="1:3" ht="12.15" customHeight="1" thickBot="1" x14ac:dyDescent="0.3">
      <c r="A50" s="207" t="s">
        <v>111</v>
      </c>
      <c r="B50" s="5" t="s">
        <v>136</v>
      </c>
      <c r="C50" s="36"/>
    </row>
    <row r="51" spans="1:3" ht="12.15" customHeight="1" thickBot="1" x14ac:dyDescent="0.3">
      <c r="A51" s="74" t="s">
        <v>17</v>
      </c>
      <c r="B51" s="54" t="s">
        <v>347</v>
      </c>
      <c r="C51" s="124">
        <f>SUM(C52:C54)</f>
        <v>5722998</v>
      </c>
    </row>
    <row r="52" spans="1:3" s="213" customFormat="1" ht="12.15" customHeight="1" x14ac:dyDescent="0.25">
      <c r="A52" s="207" t="s">
        <v>91</v>
      </c>
      <c r="B52" s="6" t="s">
        <v>157</v>
      </c>
      <c r="C52" s="34">
        <v>5722998</v>
      </c>
    </row>
    <row r="53" spans="1:3" ht="12.15" customHeight="1" x14ac:dyDescent="0.25">
      <c r="A53" s="207" t="s">
        <v>92</v>
      </c>
      <c r="B53" s="5" t="s">
        <v>138</v>
      </c>
      <c r="C53" s="36"/>
    </row>
    <row r="54" spans="1:3" ht="12.15" customHeight="1" x14ac:dyDescent="0.25">
      <c r="A54" s="207" t="s">
        <v>93</v>
      </c>
      <c r="B54" s="5" t="s">
        <v>54</v>
      </c>
      <c r="C54" s="36"/>
    </row>
    <row r="55" spans="1:3" ht="12.15" customHeight="1" thickBot="1" x14ac:dyDescent="0.3">
      <c r="A55" s="207" t="s">
        <v>94</v>
      </c>
      <c r="B55" s="5" t="s">
        <v>462</v>
      </c>
      <c r="C55" s="36"/>
    </row>
    <row r="56" spans="1:3" ht="15" customHeight="1" thickBot="1" x14ac:dyDescent="0.3">
      <c r="A56" s="74" t="s">
        <v>18</v>
      </c>
      <c r="B56" s="54" t="s">
        <v>12</v>
      </c>
      <c r="C56" s="142"/>
    </row>
    <row r="57" spans="1:3" ht="13.8" thickBot="1" x14ac:dyDescent="0.3">
      <c r="A57" s="74" t="s">
        <v>19</v>
      </c>
      <c r="B57" s="93" t="s">
        <v>463</v>
      </c>
      <c r="C57" s="162">
        <f>+C45+C51+C56</f>
        <v>338511681</v>
      </c>
    </row>
    <row r="58" spans="1:3" ht="15" customHeight="1" thickBot="1" x14ac:dyDescent="0.3">
      <c r="C58" s="163"/>
    </row>
    <row r="59" spans="1:3" ht="14.25" customHeight="1" thickBot="1" x14ac:dyDescent="0.3">
      <c r="A59" s="1341" t="s">
        <v>456</v>
      </c>
      <c r="B59" s="1342"/>
      <c r="C59" s="939">
        <f>46.375+3</f>
        <v>49.375</v>
      </c>
    </row>
    <row r="60" spans="1:3" ht="13.8" thickBot="1" x14ac:dyDescent="0.3">
      <c r="A60" s="1341" t="s">
        <v>990</v>
      </c>
      <c r="B60" s="1342"/>
      <c r="C60" s="941">
        <f>0.5+0.1666</f>
        <v>0.66659999999999997</v>
      </c>
    </row>
  </sheetData>
  <sheetProtection formatCells="0"/>
  <mergeCells count="4">
    <mergeCell ref="A1:C1"/>
    <mergeCell ref="A59:B59"/>
    <mergeCell ref="A3:C3"/>
    <mergeCell ref="A60:B60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B13" sqref="B13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4" width="9.33203125" style="301" customWidth="1"/>
    <col min="5" max="6" width="11.77734375" style="609" hidden="1" customWidth="1"/>
    <col min="7" max="7" width="8" style="301" customWidth="1"/>
    <col min="8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6" x14ac:dyDescent="0.25">
      <c r="A1" s="1340" t="str">
        <f>CONCATENATE("15. melléklet"," ",ALAPADATOK!A7," ",ALAPADATOK!B7," ",ALAPADATOK!C7," ",ALAPADATOK!D7," ",ALAPADATOK!E7," ",ALAPADATOK!F7," ",ALAPADATOK!G7," ",ALAPADATOK!H7)</f>
        <v>15. melléklet a …. / 2024. ( .... ) önkormányzati rendelethez</v>
      </c>
      <c r="B1" s="1340"/>
      <c r="C1" s="1340"/>
    </row>
    <row r="2" spans="1:6" s="1" customFormat="1" ht="21.15" customHeight="1" x14ac:dyDescent="0.25">
      <c r="A2" s="75"/>
      <c r="B2" s="76"/>
      <c r="C2" s="307"/>
      <c r="E2" s="609"/>
      <c r="F2" s="609"/>
    </row>
    <row r="3" spans="1:6" s="37" customFormat="1" ht="33" customHeight="1" thickBot="1" x14ac:dyDescent="0.3">
      <c r="A3" s="1290" t="s">
        <v>851</v>
      </c>
      <c r="B3" s="1290"/>
      <c r="C3" s="1290"/>
      <c r="E3" s="462"/>
      <c r="F3" s="462"/>
    </row>
    <row r="4" spans="1:6" ht="13.8" thickBot="1" x14ac:dyDescent="0.3">
      <c r="A4" s="172" t="s">
        <v>153</v>
      </c>
      <c r="B4" s="79" t="s">
        <v>50</v>
      </c>
      <c r="C4" s="311" t="s">
        <v>845</v>
      </c>
    </row>
    <row r="5" spans="1:6" s="32" customFormat="1" ht="12.9" customHeight="1" thickBot="1" x14ac:dyDescent="0.3">
      <c r="A5" s="71" t="s">
        <v>382</v>
      </c>
      <c r="B5" s="72" t="s">
        <v>383</v>
      </c>
      <c r="C5" s="312" t="s">
        <v>384</v>
      </c>
      <c r="E5" s="463"/>
      <c r="F5" s="463"/>
    </row>
    <row r="6" spans="1:6" s="32" customFormat="1" ht="15.9" customHeight="1" thickBot="1" x14ac:dyDescent="0.3">
      <c r="A6" s="81"/>
      <c r="B6" s="82" t="s">
        <v>52</v>
      </c>
      <c r="C6" s="313"/>
      <c r="E6" s="463"/>
      <c r="F6" s="463"/>
    </row>
    <row r="7" spans="1:6" s="38" customFormat="1" ht="12.15" customHeight="1" thickBot="1" x14ac:dyDescent="0.3">
      <c r="A7" s="71" t="s">
        <v>16</v>
      </c>
      <c r="B7" s="84" t="s">
        <v>458</v>
      </c>
      <c r="C7" s="502">
        <f>SUM(C8:C18)</f>
        <v>10122756</v>
      </c>
      <c r="E7" s="464">
        <f>'22. sz. mell TEOI'!C7+'23.sz.mell TEOI'!C7</f>
        <v>10122756</v>
      </c>
      <c r="F7" s="464">
        <f>C7-E7</f>
        <v>0</v>
      </c>
    </row>
    <row r="8" spans="1:6" s="38" customFormat="1" ht="12.15" customHeight="1" x14ac:dyDescent="0.25">
      <c r="A8" s="206" t="s">
        <v>85</v>
      </c>
      <c r="B8" s="7" t="s">
        <v>207</v>
      </c>
      <c r="C8" s="503"/>
      <c r="E8" s="464">
        <f>'22. sz. mell TEOI'!C8+'23.sz.mell TEOI'!C8</f>
        <v>0</v>
      </c>
      <c r="F8" s="464">
        <f t="shared" ref="F8:F55" si="0">C8-E8</f>
        <v>0</v>
      </c>
    </row>
    <row r="9" spans="1:6" s="38" customFormat="1" ht="12.15" customHeight="1" x14ac:dyDescent="0.25">
      <c r="A9" s="207" t="s">
        <v>86</v>
      </c>
      <c r="B9" s="5" t="s">
        <v>208</v>
      </c>
      <c r="C9" s="214">
        <v>600000</v>
      </c>
      <c r="E9" s="464">
        <f>'22. sz. mell TEOI'!C9+'23.sz.mell TEOI'!C9</f>
        <v>600000</v>
      </c>
      <c r="F9" s="464">
        <f t="shared" si="0"/>
        <v>0</v>
      </c>
    </row>
    <row r="10" spans="1:6" s="38" customFormat="1" ht="12.15" customHeight="1" x14ac:dyDescent="0.25">
      <c r="A10" s="207" t="s">
        <v>87</v>
      </c>
      <c r="B10" s="5" t="s">
        <v>209</v>
      </c>
      <c r="C10" s="214">
        <v>6980000</v>
      </c>
      <c r="E10" s="464">
        <f>'22. sz. mell TEOI'!C10+'23.sz.mell TEOI'!C10</f>
        <v>6980000</v>
      </c>
      <c r="F10" s="464">
        <f t="shared" si="0"/>
        <v>0</v>
      </c>
    </row>
    <row r="11" spans="1:6" s="38" customFormat="1" ht="12.15" customHeight="1" x14ac:dyDescent="0.25">
      <c r="A11" s="207" t="s">
        <v>88</v>
      </c>
      <c r="B11" s="5" t="s">
        <v>210</v>
      </c>
      <c r="C11" s="214"/>
      <c r="E11" s="464">
        <f>'22. sz. mell TEOI'!C11+'23.sz.mell TEOI'!C11</f>
        <v>0</v>
      </c>
      <c r="F11" s="464">
        <f t="shared" si="0"/>
        <v>0</v>
      </c>
    </row>
    <row r="12" spans="1:6" s="38" customFormat="1" ht="12.15" customHeight="1" x14ac:dyDescent="0.25">
      <c r="A12" s="207" t="s">
        <v>111</v>
      </c>
      <c r="B12" s="5" t="s">
        <v>211</v>
      </c>
      <c r="C12" s="214">
        <v>382800</v>
      </c>
      <c r="E12" s="464">
        <f>'22. sz. mell TEOI'!C12+'23.sz.mell TEOI'!C12</f>
        <v>382800</v>
      </c>
      <c r="F12" s="464">
        <f t="shared" si="0"/>
        <v>0</v>
      </c>
    </row>
    <row r="13" spans="1:6" s="38" customFormat="1" ht="12.15" customHeight="1" x14ac:dyDescent="0.25">
      <c r="A13" s="207" t="s">
        <v>89</v>
      </c>
      <c r="B13" s="5" t="s">
        <v>331</v>
      </c>
      <c r="C13" s="214">
        <v>2149956</v>
      </c>
      <c r="E13" s="464">
        <f>'22. sz. mell TEOI'!C13+'23.sz.mell TEOI'!C13</f>
        <v>2149956</v>
      </c>
      <c r="F13" s="464">
        <f t="shared" si="0"/>
        <v>0</v>
      </c>
    </row>
    <row r="14" spans="1:6" s="38" customFormat="1" ht="12.15" customHeight="1" x14ac:dyDescent="0.25">
      <c r="A14" s="207" t="s">
        <v>90</v>
      </c>
      <c r="B14" s="4" t="s">
        <v>332</v>
      </c>
      <c r="C14" s="504"/>
      <c r="E14" s="464">
        <f>'22. sz. mell TEOI'!C14+'23.sz.mell TEOI'!C14</f>
        <v>0</v>
      </c>
      <c r="F14" s="464">
        <f t="shared" si="0"/>
        <v>0</v>
      </c>
    </row>
    <row r="15" spans="1:6" s="38" customFormat="1" ht="12.15" customHeight="1" x14ac:dyDescent="0.25">
      <c r="A15" s="207" t="s">
        <v>100</v>
      </c>
      <c r="B15" s="5" t="s">
        <v>214</v>
      </c>
      <c r="C15" s="505"/>
      <c r="E15" s="464">
        <f>'22. sz. mell TEOI'!C15+'23.sz.mell TEOI'!C15</f>
        <v>0</v>
      </c>
      <c r="F15" s="464">
        <f t="shared" si="0"/>
        <v>0</v>
      </c>
    </row>
    <row r="16" spans="1:6" s="39" customFormat="1" ht="12.15" customHeight="1" x14ac:dyDescent="0.25">
      <c r="A16" s="207" t="s">
        <v>101</v>
      </c>
      <c r="B16" s="5" t="s">
        <v>215</v>
      </c>
      <c r="C16" s="504"/>
      <c r="E16" s="464">
        <f>'22. sz. mell TEOI'!C16+'23.sz.mell TEOI'!C16</f>
        <v>0</v>
      </c>
      <c r="F16" s="464">
        <f t="shared" si="0"/>
        <v>0</v>
      </c>
    </row>
    <row r="17" spans="1:6" s="39" customFormat="1" ht="12.15" customHeight="1" x14ac:dyDescent="0.25">
      <c r="A17" s="207" t="s">
        <v>102</v>
      </c>
      <c r="B17" s="5" t="s">
        <v>388</v>
      </c>
      <c r="C17" s="506"/>
      <c r="E17" s="464">
        <f>'22. sz. mell TEOI'!C17+'23.sz.mell TEOI'!C17</f>
        <v>0</v>
      </c>
      <c r="F17" s="464">
        <f t="shared" si="0"/>
        <v>0</v>
      </c>
    </row>
    <row r="18" spans="1:6" s="39" customFormat="1" ht="12.15" customHeight="1" thickBot="1" x14ac:dyDescent="0.3">
      <c r="A18" s="207" t="s">
        <v>103</v>
      </c>
      <c r="B18" s="4" t="s">
        <v>216</v>
      </c>
      <c r="C18" s="506">
        <v>10000</v>
      </c>
      <c r="E18" s="464">
        <f>'22. sz. mell TEOI'!C18+'23.sz.mell TEOI'!C18</f>
        <v>10000</v>
      </c>
      <c r="F18" s="464">
        <f t="shared" si="0"/>
        <v>0</v>
      </c>
    </row>
    <row r="19" spans="1:6" s="38" customFormat="1" ht="12.15" customHeight="1" thickBot="1" x14ac:dyDescent="0.3">
      <c r="A19" s="71" t="s">
        <v>17</v>
      </c>
      <c r="B19" s="84" t="s">
        <v>333</v>
      </c>
      <c r="C19" s="502">
        <f>SUM(C20:C22)</f>
        <v>0</v>
      </c>
      <c r="E19" s="464">
        <f>'22. sz. mell TEOI'!C19+'23.sz.mell TEOI'!C19</f>
        <v>0</v>
      </c>
      <c r="F19" s="464">
        <f t="shared" si="0"/>
        <v>0</v>
      </c>
    </row>
    <row r="20" spans="1:6" s="39" customFormat="1" ht="12.15" customHeight="1" x14ac:dyDescent="0.25">
      <c r="A20" s="207" t="s">
        <v>91</v>
      </c>
      <c r="B20" s="6" t="s">
        <v>185</v>
      </c>
      <c r="C20" s="507"/>
      <c r="E20" s="464">
        <f>'22. sz. mell TEOI'!C20+'23.sz.mell TEOI'!C20</f>
        <v>0</v>
      </c>
      <c r="F20" s="464">
        <f t="shared" si="0"/>
        <v>0</v>
      </c>
    </row>
    <row r="21" spans="1:6" s="39" customFormat="1" ht="12.15" customHeight="1" x14ac:dyDescent="0.25">
      <c r="A21" s="207" t="s">
        <v>92</v>
      </c>
      <c r="B21" s="5" t="s">
        <v>334</v>
      </c>
      <c r="C21" s="504"/>
      <c r="E21" s="464">
        <f>'22. sz. mell TEOI'!C21+'23.sz.mell TEOI'!C21</f>
        <v>0</v>
      </c>
      <c r="F21" s="464">
        <f t="shared" si="0"/>
        <v>0</v>
      </c>
    </row>
    <row r="22" spans="1:6" s="39" customFormat="1" ht="12.15" customHeight="1" x14ac:dyDescent="0.25">
      <c r="A22" s="207" t="s">
        <v>93</v>
      </c>
      <c r="B22" s="5" t="s">
        <v>335</v>
      </c>
      <c r="C22" s="508"/>
      <c r="E22" s="464">
        <f>'22. sz. mell TEOI'!C22+'23.sz.mell TEOI'!C22</f>
        <v>0</v>
      </c>
      <c r="F22" s="464">
        <f t="shared" si="0"/>
        <v>0</v>
      </c>
    </row>
    <row r="23" spans="1:6" s="39" customFormat="1" ht="12.15" customHeight="1" thickBot="1" x14ac:dyDescent="0.3">
      <c r="A23" s="207" t="s">
        <v>94</v>
      </c>
      <c r="B23" s="5" t="s">
        <v>459</v>
      </c>
      <c r="C23" s="504"/>
      <c r="E23" s="464">
        <f>'22. sz. mell TEOI'!C23+'23.sz.mell TEOI'!C23</f>
        <v>0</v>
      </c>
      <c r="F23" s="464">
        <f t="shared" si="0"/>
        <v>0</v>
      </c>
    </row>
    <row r="24" spans="1:6" s="39" customFormat="1" ht="12.15" customHeight="1" thickBot="1" x14ac:dyDescent="0.3">
      <c r="A24" s="74" t="s">
        <v>18</v>
      </c>
      <c r="B24" s="54" t="s">
        <v>125</v>
      </c>
      <c r="C24" s="509"/>
      <c r="E24" s="464">
        <f>'22. sz. mell TEOI'!C24+'23.sz.mell TEOI'!C24</f>
        <v>0</v>
      </c>
      <c r="F24" s="464">
        <f t="shared" si="0"/>
        <v>0</v>
      </c>
    </row>
    <row r="25" spans="1:6" s="39" customFormat="1" ht="12.15" customHeight="1" thickBot="1" x14ac:dyDescent="0.3">
      <c r="A25" s="74" t="s">
        <v>19</v>
      </c>
      <c r="B25" s="54" t="s">
        <v>460</v>
      </c>
      <c r="C25" s="502">
        <f>+C26+C27</f>
        <v>0</v>
      </c>
      <c r="E25" s="464">
        <f>'22. sz. mell TEOI'!C25+'23.sz.mell TEOI'!C25</f>
        <v>0</v>
      </c>
      <c r="F25" s="464">
        <f t="shared" si="0"/>
        <v>0</v>
      </c>
    </row>
    <row r="26" spans="1:6" s="39" customFormat="1" ht="12.15" customHeight="1" x14ac:dyDescent="0.25">
      <c r="A26" s="208" t="s">
        <v>198</v>
      </c>
      <c r="B26" s="209" t="s">
        <v>334</v>
      </c>
      <c r="C26" s="507"/>
      <c r="E26" s="464">
        <f>'22. sz. mell TEOI'!C27+'23.sz.mell TEOI'!C27</f>
        <v>0</v>
      </c>
      <c r="F26" s="464">
        <f t="shared" si="0"/>
        <v>0</v>
      </c>
    </row>
    <row r="27" spans="1:6" s="39" customFormat="1" ht="12.15" customHeight="1" x14ac:dyDescent="0.25">
      <c r="A27" s="208" t="s">
        <v>199</v>
      </c>
      <c r="B27" s="210" t="s">
        <v>336</v>
      </c>
      <c r="C27" s="507"/>
      <c r="E27" s="464">
        <f>'22. sz. mell TEOI'!C28+'23.sz.mell TEOI'!C28</f>
        <v>0</v>
      </c>
      <c r="F27" s="464">
        <f t="shared" si="0"/>
        <v>0</v>
      </c>
    </row>
    <row r="28" spans="1:6" s="39" customFormat="1" ht="12.15" customHeight="1" thickBot="1" x14ac:dyDescent="0.3">
      <c r="A28" s="207" t="s">
        <v>200</v>
      </c>
      <c r="B28" s="57" t="s">
        <v>461</v>
      </c>
      <c r="C28" s="511"/>
      <c r="E28" s="464">
        <f>'22. sz. mell TEOI'!C29+'23.sz.mell TEOI'!C29</f>
        <v>0</v>
      </c>
      <c r="F28" s="464">
        <f t="shared" si="0"/>
        <v>0</v>
      </c>
    </row>
    <row r="29" spans="1:6" s="39" customFormat="1" ht="12.15" customHeight="1" thickBot="1" x14ac:dyDescent="0.3">
      <c r="A29" s="74" t="s">
        <v>20</v>
      </c>
      <c r="B29" s="54" t="s">
        <v>337</v>
      </c>
      <c r="C29" s="502">
        <f>+C30+C31+C32</f>
        <v>0</v>
      </c>
      <c r="E29" s="464">
        <f>'22. sz. mell TEOI'!C30+'23.sz.mell TEOI'!C30</f>
        <v>0</v>
      </c>
      <c r="F29" s="464">
        <f t="shared" si="0"/>
        <v>0</v>
      </c>
    </row>
    <row r="30" spans="1:6" s="39" customFormat="1" ht="12.15" customHeight="1" x14ac:dyDescent="0.25">
      <c r="A30" s="208" t="s">
        <v>78</v>
      </c>
      <c r="B30" s="209" t="s">
        <v>221</v>
      </c>
      <c r="C30" s="510"/>
      <c r="E30" s="464">
        <f>'22. sz. mell TEOI'!C31+'23.sz.mell TEOI'!C31</f>
        <v>0</v>
      </c>
      <c r="F30" s="464">
        <f t="shared" si="0"/>
        <v>0</v>
      </c>
    </row>
    <row r="31" spans="1:6" s="39" customFormat="1" ht="12.15" customHeight="1" x14ac:dyDescent="0.25">
      <c r="A31" s="208" t="s">
        <v>79</v>
      </c>
      <c r="B31" s="210" t="s">
        <v>222</v>
      </c>
      <c r="C31" s="505"/>
      <c r="E31" s="464">
        <f>'22. sz. mell TEOI'!C32+'23.sz.mell TEOI'!C32</f>
        <v>0</v>
      </c>
      <c r="F31" s="464">
        <f t="shared" si="0"/>
        <v>0</v>
      </c>
    </row>
    <row r="32" spans="1:6" s="38" customFormat="1" ht="12.15" customHeight="1" thickBot="1" x14ac:dyDescent="0.3">
      <c r="A32" s="207" t="s">
        <v>80</v>
      </c>
      <c r="B32" s="57" t="s">
        <v>223</v>
      </c>
      <c r="C32" s="511"/>
      <c r="E32" s="464">
        <f>'22. sz. mell TEOI'!C33+'23.sz.mell TEOI'!C33</f>
        <v>0</v>
      </c>
      <c r="F32" s="464">
        <f t="shared" si="0"/>
        <v>0</v>
      </c>
    </row>
    <row r="33" spans="1:6" s="38" customFormat="1" ht="12.15" customHeight="1" thickBot="1" x14ac:dyDescent="0.3">
      <c r="A33" s="74" t="s">
        <v>21</v>
      </c>
      <c r="B33" s="54" t="s">
        <v>309</v>
      </c>
      <c r="C33" s="1023"/>
      <c r="E33" s="464">
        <f>'22. sz. mell TEOI'!C34+'23.sz.mell TEOI'!C34</f>
        <v>0</v>
      </c>
      <c r="F33" s="464">
        <f t="shared" si="0"/>
        <v>0</v>
      </c>
    </row>
    <row r="34" spans="1:6" s="38" customFormat="1" ht="12.15" customHeight="1" thickBot="1" x14ac:dyDescent="0.3">
      <c r="A34" s="74" t="s">
        <v>22</v>
      </c>
      <c r="B34" s="54" t="s">
        <v>338</v>
      </c>
      <c r="C34" s="512"/>
      <c r="E34" s="464">
        <f>'22. sz. mell TEOI'!C35+'23.sz.mell TEOI'!C35</f>
        <v>0</v>
      </c>
      <c r="F34" s="464">
        <f t="shared" si="0"/>
        <v>0</v>
      </c>
    </row>
    <row r="35" spans="1:6" s="38" customFormat="1" ht="12.15" customHeight="1" thickBot="1" x14ac:dyDescent="0.3">
      <c r="A35" s="71" t="s">
        <v>23</v>
      </c>
      <c r="B35" s="54" t="s">
        <v>339</v>
      </c>
      <c r="C35" s="513">
        <f>+C7+C19+C24+C25+C29+C33+C34</f>
        <v>10122756</v>
      </c>
      <c r="E35" s="464">
        <f>'22. sz. mell TEOI'!C36+'23.sz.mell TEOI'!C36</f>
        <v>10122756</v>
      </c>
      <c r="F35" s="464">
        <f t="shared" si="0"/>
        <v>0</v>
      </c>
    </row>
    <row r="36" spans="1:6" s="38" customFormat="1" ht="12.15" customHeight="1" thickBot="1" x14ac:dyDescent="0.3">
      <c r="A36" s="85" t="s">
        <v>24</v>
      </c>
      <c r="B36" s="54" t="s">
        <v>340</v>
      </c>
      <c r="C36" s="513">
        <f>+C37+C38+C39</f>
        <v>581795970</v>
      </c>
      <c r="E36" s="464">
        <f>'22. sz. mell TEOI'!C37+'23.sz.mell TEOI'!C37</f>
        <v>581795970</v>
      </c>
      <c r="F36" s="464">
        <f t="shared" si="0"/>
        <v>0</v>
      </c>
    </row>
    <row r="37" spans="1:6" s="38" customFormat="1" ht="12.15" customHeight="1" x14ac:dyDescent="0.25">
      <c r="A37" s="208" t="s">
        <v>341</v>
      </c>
      <c r="B37" s="209" t="s">
        <v>166</v>
      </c>
      <c r="C37" s="34">
        <v>189372</v>
      </c>
      <c r="E37" s="464">
        <f>'22. sz. mell TEOI'!C38+'23.sz.mell TEOI'!C38</f>
        <v>189372</v>
      </c>
      <c r="F37" s="464">
        <f t="shared" si="0"/>
        <v>0</v>
      </c>
    </row>
    <row r="38" spans="1:6" s="39" customFormat="1" ht="12.15" customHeight="1" x14ac:dyDescent="0.25">
      <c r="A38" s="208" t="s">
        <v>342</v>
      </c>
      <c r="B38" s="210" t="s">
        <v>6</v>
      </c>
      <c r="C38" s="125"/>
      <c r="E38" s="464">
        <f>'22. sz. mell TEOI'!C39+'23.sz.mell TEOI'!C39</f>
        <v>0</v>
      </c>
      <c r="F38" s="464">
        <f t="shared" si="0"/>
        <v>0</v>
      </c>
    </row>
    <row r="39" spans="1:6" s="39" customFormat="1" ht="15" customHeight="1" thickBot="1" x14ac:dyDescent="0.3">
      <c r="A39" s="207" t="s">
        <v>343</v>
      </c>
      <c r="B39" s="57" t="s">
        <v>344</v>
      </c>
      <c r="C39" s="799">
        <f>581436598+170000</f>
        <v>581606598</v>
      </c>
      <c r="E39" s="464">
        <f>'22. sz. mell TEOI'!C40+'23.sz.mell TEOI'!C40</f>
        <v>581606598</v>
      </c>
      <c r="F39" s="464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14">
        <f>+C35+C36</f>
        <v>591918726</v>
      </c>
      <c r="E40" s="464">
        <f>'22. sz. mell TEOI'!C41+'23.sz.mell TEOI'!C41</f>
        <v>591918726</v>
      </c>
      <c r="F40" s="464">
        <f t="shared" si="0"/>
        <v>0</v>
      </c>
    </row>
    <row r="41" spans="1:6" s="213" customFormat="1" ht="12.15" customHeight="1" thickBot="1" x14ac:dyDescent="0.3">
      <c r="A41" s="91"/>
      <c r="B41" s="92" t="s">
        <v>53</v>
      </c>
      <c r="C41" s="514"/>
      <c r="E41" s="464">
        <f>'22. sz. mell TEOI'!C42+'23.sz.mell TEOI'!C44</f>
        <v>0</v>
      </c>
      <c r="F41" s="464">
        <f t="shared" si="0"/>
        <v>0</v>
      </c>
    </row>
    <row r="42" spans="1:6" ht="12.15" customHeight="1" thickBot="1" x14ac:dyDescent="0.3">
      <c r="A42" s="74" t="s">
        <v>16</v>
      </c>
      <c r="B42" s="54" t="s">
        <v>346</v>
      </c>
      <c r="C42" s="502">
        <f>SUM(C43:C47)</f>
        <v>587844566</v>
      </c>
      <c r="E42" s="464">
        <f>'22. sz. mell TEOI'!C43+'23.sz.mell TEOI'!C45</f>
        <v>587844566</v>
      </c>
      <c r="F42" s="464">
        <f t="shared" si="0"/>
        <v>0</v>
      </c>
    </row>
    <row r="43" spans="1:6" ht="12.15" customHeight="1" x14ac:dyDescent="0.25">
      <c r="A43" s="207" t="s">
        <v>85</v>
      </c>
      <c r="B43" s="6" t="s">
        <v>46</v>
      </c>
      <c r="C43" s="1085">
        <v>409187149</v>
      </c>
      <c r="E43" s="464">
        <f>'22. sz. mell TEOI'!C44+'23.sz.mell TEOI'!C46</f>
        <v>409187149</v>
      </c>
      <c r="F43" s="464">
        <f t="shared" si="0"/>
        <v>0</v>
      </c>
    </row>
    <row r="44" spans="1:6" ht="12.15" customHeight="1" x14ac:dyDescent="0.25">
      <c r="A44" s="207" t="s">
        <v>86</v>
      </c>
      <c r="B44" s="5" t="s">
        <v>134</v>
      </c>
      <c r="C44" s="114">
        <v>51190551</v>
      </c>
      <c r="E44" s="464">
        <f>'22. sz. mell TEOI'!C45+'23.sz.mell TEOI'!C47</f>
        <v>51190551</v>
      </c>
      <c r="F44" s="464">
        <f t="shared" si="0"/>
        <v>0</v>
      </c>
    </row>
    <row r="45" spans="1:6" ht="12.15" customHeight="1" x14ac:dyDescent="0.25">
      <c r="A45" s="207" t="s">
        <v>87</v>
      </c>
      <c r="B45" s="5" t="s">
        <v>110</v>
      </c>
      <c r="C45" s="114">
        <f>127296866+170000</f>
        <v>127466866</v>
      </c>
      <c r="E45" s="464">
        <f>'22. sz. mell TEOI'!C46+'23.sz.mell TEOI'!C48</f>
        <v>127466866</v>
      </c>
      <c r="F45" s="464">
        <f t="shared" si="0"/>
        <v>0</v>
      </c>
    </row>
    <row r="46" spans="1:6" ht="12.15" customHeight="1" x14ac:dyDescent="0.25">
      <c r="A46" s="207" t="s">
        <v>88</v>
      </c>
      <c r="B46" s="5" t="s">
        <v>135</v>
      </c>
      <c r="C46" s="504"/>
      <c r="E46" s="464">
        <f>'22. sz. mell TEOI'!C47+'23.sz.mell TEOI'!C49</f>
        <v>0</v>
      </c>
      <c r="F46" s="464">
        <f t="shared" si="0"/>
        <v>0</v>
      </c>
    </row>
    <row r="47" spans="1:6" ht="12.15" customHeight="1" thickBot="1" x14ac:dyDescent="0.3">
      <c r="A47" s="207" t="s">
        <v>111</v>
      </c>
      <c r="B47" s="5" t="s">
        <v>136</v>
      </c>
      <c r="C47" s="504"/>
      <c r="E47" s="464">
        <f>'22. sz. mell TEOI'!C48+'23.sz.mell TEOI'!C50</f>
        <v>0</v>
      </c>
      <c r="F47" s="464">
        <f t="shared" si="0"/>
        <v>0</v>
      </c>
    </row>
    <row r="48" spans="1:6" s="213" customFormat="1" ht="12.15" customHeight="1" thickBot="1" x14ac:dyDescent="0.3">
      <c r="A48" s="74" t="s">
        <v>17</v>
      </c>
      <c r="B48" s="54" t="s">
        <v>347</v>
      </c>
      <c r="C48" s="502">
        <f>SUM(C49:C51)</f>
        <v>4074160</v>
      </c>
      <c r="E48" s="464">
        <f>'22. sz. mell TEOI'!C49+'23.sz.mell TEOI'!C51</f>
        <v>4074160</v>
      </c>
      <c r="F48" s="464">
        <f t="shared" si="0"/>
        <v>0</v>
      </c>
    </row>
    <row r="49" spans="1:6" ht="12.15" customHeight="1" x14ac:dyDescent="0.25">
      <c r="A49" s="207" t="s">
        <v>91</v>
      </c>
      <c r="B49" s="6" t="s">
        <v>157</v>
      </c>
      <c r="C49" s="34">
        <v>4074160</v>
      </c>
      <c r="E49" s="464">
        <f>'22. sz. mell TEOI'!C50+'23.sz.mell TEOI'!C52</f>
        <v>4074160</v>
      </c>
      <c r="F49" s="464">
        <f t="shared" si="0"/>
        <v>0</v>
      </c>
    </row>
    <row r="50" spans="1:6" ht="12.15" customHeight="1" x14ac:dyDescent="0.25">
      <c r="A50" s="207" t="s">
        <v>92</v>
      </c>
      <c r="B50" s="5" t="s">
        <v>138</v>
      </c>
      <c r="C50" s="36"/>
      <c r="E50" s="464">
        <f>'22. sz. mell TEOI'!C51+'23.sz.mell TEOI'!C53</f>
        <v>0</v>
      </c>
      <c r="F50" s="464">
        <f t="shared" si="0"/>
        <v>0</v>
      </c>
    </row>
    <row r="51" spans="1:6" ht="12.15" customHeight="1" x14ac:dyDescent="0.25">
      <c r="A51" s="207" t="s">
        <v>93</v>
      </c>
      <c r="B51" s="5" t="s">
        <v>54</v>
      </c>
      <c r="C51" s="504"/>
      <c r="E51" s="464">
        <f>'22. sz. mell TEOI'!C52+'23.sz.mell TEOI'!C54</f>
        <v>0</v>
      </c>
      <c r="F51" s="464">
        <f t="shared" si="0"/>
        <v>0</v>
      </c>
    </row>
    <row r="52" spans="1:6" ht="15" customHeight="1" thickBot="1" x14ac:dyDescent="0.3">
      <c r="A52" s="207" t="s">
        <v>94</v>
      </c>
      <c r="B52" s="5" t="s">
        <v>462</v>
      </c>
      <c r="C52" s="504"/>
      <c r="E52" s="464">
        <f>'22. sz. mell TEOI'!C53+'23.sz.mell TEOI'!C55</f>
        <v>0</v>
      </c>
      <c r="F52" s="464">
        <f t="shared" si="0"/>
        <v>0</v>
      </c>
    </row>
    <row r="53" spans="1:6" ht="13.8" thickBot="1" x14ac:dyDescent="0.3">
      <c r="A53" s="74" t="s">
        <v>18</v>
      </c>
      <c r="B53" s="54" t="s">
        <v>12</v>
      </c>
      <c r="C53" s="509"/>
      <c r="E53" s="464">
        <f>'22. sz. mell TEOI'!C54+'23.sz.mell TEOI'!C56</f>
        <v>0</v>
      </c>
      <c r="F53" s="464">
        <f t="shared" si="0"/>
        <v>0</v>
      </c>
    </row>
    <row r="54" spans="1:6" ht="15" customHeight="1" thickBot="1" x14ac:dyDescent="0.3">
      <c r="A54" s="74" t="s">
        <v>19</v>
      </c>
      <c r="B54" s="93" t="s">
        <v>463</v>
      </c>
      <c r="C54" s="517">
        <f>+C42+C48+C53</f>
        <v>591918726</v>
      </c>
      <c r="E54" s="464">
        <f>'22. sz. mell TEOI'!C55+'23.sz.mell TEOI'!C57</f>
        <v>591918726</v>
      </c>
      <c r="F54" s="464">
        <f t="shared" si="0"/>
        <v>0</v>
      </c>
    </row>
    <row r="55" spans="1:6" ht="13.8" thickBot="1" x14ac:dyDescent="0.3">
      <c r="A55" s="1341" t="s">
        <v>456</v>
      </c>
      <c r="B55" s="1342"/>
      <c r="C55" s="391">
        <f>53</f>
        <v>53</v>
      </c>
      <c r="E55" s="464">
        <f>'22. sz. mell TEOI'!C56+'23.sz.mell TEOI'!C59</f>
        <v>53</v>
      </c>
      <c r="F55" s="464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A2" sqref="A2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6" ht="12.75" customHeight="1" x14ac:dyDescent="0.25">
      <c r="A1" s="1340" t="str">
        <f>CONCATENATE("16. melléklet"," ",ALAPADATOK!A7," ",ALAPADATOK!B7," ",ALAPADATOK!C7," ",ALAPADATOK!D7," ",ALAPADATOK!E7," ",ALAPADATOK!F7," ",ALAPADATOK!G7," ",ALAPADATOK!H7)</f>
        <v>16. melléklet a …. / 2024. ( .... ) önkormányzati rendelethez</v>
      </c>
      <c r="B1" s="1340"/>
      <c r="C1" s="1340"/>
    </row>
    <row r="2" spans="1:6" s="1" customFormat="1" ht="21.15" customHeight="1" x14ac:dyDescent="0.25">
      <c r="A2" s="75"/>
      <c r="B2" s="76"/>
      <c r="C2" s="307"/>
    </row>
    <row r="3" spans="1:6" s="37" customFormat="1" ht="33" customHeight="1" thickBot="1" x14ac:dyDescent="0.3">
      <c r="A3" s="1290" t="s">
        <v>852</v>
      </c>
      <c r="B3" s="1290"/>
      <c r="C3" s="1290"/>
      <c r="E3" s="462"/>
      <c r="F3" s="462"/>
    </row>
    <row r="4" spans="1:6" ht="13.8" thickBot="1" x14ac:dyDescent="0.3">
      <c r="A4" s="172" t="s">
        <v>153</v>
      </c>
      <c r="B4" s="79" t="s">
        <v>50</v>
      </c>
      <c r="C4" s="311" t="s">
        <v>845</v>
      </c>
      <c r="E4" s="609"/>
      <c r="F4" s="609"/>
    </row>
    <row r="5" spans="1:6" s="32" customFormat="1" ht="12.9" customHeight="1" thickBot="1" x14ac:dyDescent="0.3">
      <c r="A5" s="71" t="s">
        <v>382</v>
      </c>
      <c r="B5" s="72" t="s">
        <v>383</v>
      </c>
      <c r="C5" s="312" t="s">
        <v>384</v>
      </c>
      <c r="E5" s="463"/>
      <c r="F5" s="463"/>
    </row>
    <row r="6" spans="1:6" s="32" customFormat="1" ht="15.9" customHeight="1" thickBot="1" x14ac:dyDescent="0.3">
      <c r="A6" s="81"/>
      <c r="B6" s="82" t="s">
        <v>52</v>
      </c>
      <c r="C6" s="313"/>
    </row>
    <row r="7" spans="1:6" s="38" customFormat="1" ht="12.15" customHeight="1" thickBot="1" x14ac:dyDescent="0.3">
      <c r="A7" s="71" t="s">
        <v>16</v>
      </c>
      <c r="B7" s="84" t="s">
        <v>458</v>
      </c>
      <c r="C7" s="502">
        <f>SUM(C8:C18)</f>
        <v>10122756</v>
      </c>
    </row>
    <row r="8" spans="1:6" s="38" customFormat="1" ht="12.15" customHeight="1" x14ac:dyDescent="0.25">
      <c r="A8" s="206" t="s">
        <v>85</v>
      </c>
      <c r="B8" s="7" t="s">
        <v>207</v>
      </c>
      <c r="C8" s="503"/>
    </row>
    <row r="9" spans="1:6" s="38" customFormat="1" ht="12.15" customHeight="1" x14ac:dyDescent="0.25">
      <c r="A9" s="207" t="s">
        <v>86</v>
      </c>
      <c r="B9" s="5" t="s">
        <v>208</v>
      </c>
      <c r="C9" s="214">
        <v>600000</v>
      </c>
    </row>
    <row r="10" spans="1:6" s="38" customFormat="1" ht="12.15" customHeight="1" x14ac:dyDescent="0.25">
      <c r="A10" s="207" t="s">
        <v>87</v>
      </c>
      <c r="B10" s="5" t="s">
        <v>209</v>
      </c>
      <c r="C10" s="214">
        <v>6980000</v>
      </c>
    </row>
    <row r="11" spans="1:6" s="38" customFormat="1" ht="12.15" customHeight="1" x14ac:dyDescent="0.25">
      <c r="A11" s="207" t="s">
        <v>88</v>
      </c>
      <c r="B11" s="5" t="s">
        <v>210</v>
      </c>
      <c r="C11" s="214"/>
    </row>
    <row r="12" spans="1:6" s="38" customFormat="1" ht="12.15" customHeight="1" x14ac:dyDescent="0.25">
      <c r="A12" s="207" t="s">
        <v>111</v>
      </c>
      <c r="B12" s="5" t="s">
        <v>211</v>
      </c>
      <c r="C12" s="214">
        <v>382800</v>
      </c>
    </row>
    <row r="13" spans="1:6" s="38" customFormat="1" ht="12.15" customHeight="1" x14ac:dyDescent="0.25">
      <c r="A13" s="207" t="s">
        <v>89</v>
      </c>
      <c r="B13" s="5" t="s">
        <v>331</v>
      </c>
      <c r="C13" s="214">
        <v>2149956</v>
      </c>
    </row>
    <row r="14" spans="1:6" s="38" customFormat="1" ht="12.15" customHeight="1" x14ac:dyDescent="0.25">
      <c r="A14" s="207" t="s">
        <v>90</v>
      </c>
      <c r="B14" s="4" t="s">
        <v>332</v>
      </c>
      <c r="C14" s="214"/>
    </row>
    <row r="15" spans="1:6" s="38" customFormat="1" ht="12.15" customHeight="1" x14ac:dyDescent="0.25">
      <c r="A15" s="207" t="s">
        <v>100</v>
      </c>
      <c r="B15" s="5" t="s">
        <v>214</v>
      </c>
      <c r="C15" s="214"/>
    </row>
    <row r="16" spans="1:6" s="39" customFormat="1" ht="12.15" customHeight="1" x14ac:dyDescent="0.25">
      <c r="A16" s="207" t="s">
        <v>101</v>
      </c>
      <c r="B16" s="5" t="s">
        <v>215</v>
      </c>
      <c r="C16" s="214"/>
    </row>
    <row r="17" spans="1:3" s="39" customFormat="1" ht="12.15" customHeight="1" x14ac:dyDescent="0.25">
      <c r="A17" s="207" t="s">
        <v>102</v>
      </c>
      <c r="B17" s="5" t="s">
        <v>388</v>
      </c>
      <c r="C17" s="214"/>
    </row>
    <row r="18" spans="1:3" s="39" customFormat="1" ht="12.15" customHeight="1" thickBot="1" x14ac:dyDescent="0.3">
      <c r="A18" s="207" t="s">
        <v>103</v>
      </c>
      <c r="B18" s="4" t="s">
        <v>216</v>
      </c>
      <c r="C18" s="214">
        <v>10000</v>
      </c>
    </row>
    <row r="19" spans="1:3" s="38" customFormat="1" ht="12.15" customHeight="1" thickBot="1" x14ac:dyDescent="0.3">
      <c r="A19" s="71" t="s">
        <v>17</v>
      </c>
      <c r="B19" s="84" t="s">
        <v>333</v>
      </c>
      <c r="C19" s="502">
        <f>SUM(C20:C22)</f>
        <v>0</v>
      </c>
    </row>
    <row r="20" spans="1:3" s="39" customFormat="1" ht="12.15" customHeight="1" x14ac:dyDescent="0.25">
      <c r="A20" s="207" t="s">
        <v>91</v>
      </c>
      <c r="B20" s="6" t="s">
        <v>185</v>
      </c>
      <c r="C20" s="507"/>
    </row>
    <row r="21" spans="1:3" s="39" customFormat="1" ht="12.15" customHeight="1" x14ac:dyDescent="0.25">
      <c r="A21" s="207" t="s">
        <v>92</v>
      </c>
      <c r="B21" s="5" t="s">
        <v>334</v>
      </c>
      <c r="C21" s="504"/>
    </row>
    <row r="22" spans="1:3" s="39" customFormat="1" ht="12.15" customHeight="1" x14ac:dyDescent="0.25">
      <c r="A22" s="207" t="s">
        <v>93</v>
      </c>
      <c r="B22" s="5" t="s">
        <v>335</v>
      </c>
      <c r="C22" s="508"/>
    </row>
    <row r="23" spans="1:3" s="39" customFormat="1" ht="12.15" customHeight="1" thickBot="1" x14ac:dyDescent="0.3">
      <c r="A23" s="207" t="s">
        <v>94</v>
      </c>
      <c r="B23" s="5" t="s">
        <v>459</v>
      </c>
      <c r="C23" s="504"/>
    </row>
    <row r="24" spans="1:3" s="39" customFormat="1" ht="12.15" customHeight="1" thickBot="1" x14ac:dyDescent="0.3">
      <c r="A24" s="74" t="s">
        <v>18</v>
      </c>
      <c r="B24" s="54" t="s">
        <v>125</v>
      </c>
      <c r="C24" s="509"/>
    </row>
    <row r="25" spans="1:3" s="39" customFormat="1" ht="12.15" customHeight="1" thickBot="1" x14ac:dyDescent="0.3">
      <c r="A25" s="74" t="s">
        <v>19</v>
      </c>
      <c r="B25" s="54" t="s">
        <v>460</v>
      </c>
      <c r="C25" s="502">
        <f>+C26+C27+C28</f>
        <v>0</v>
      </c>
    </row>
    <row r="26" spans="1:3" s="39" customFormat="1" ht="12.15" customHeight="1" x14ac:dyDescent="0.25">
      <c r="A26" s="208" t="s">
        <v>195</v>
      </c>
      <c r="B26" s="209" t="s">
        <v>190</v>
      </c>
      <c r="C26" s="510"/>
    </row>
    <row r="27" spans="1:3" s="39" customFormat="1" ht="12.15" customHeight="1" x14ac:dyDescent="0.25">
      <c r="A27" s="208" t="s">
        <v>198</v>
      </c>
      <c r="B27" s="209" t="s">
        <v>334</v>
      </c>
      <c r="C27" s="507"/>
    </row>
    <row r="28" spans="1:3" s="39" customFormat="1" ht="12.15" customHeight="1" x14ac:dyDescent="0.25">
      <c r="A28" s="208" t="s">
        <v>199</v>
      </c>
      <c r="B28" s="210" t="s">
        <v>336</v>
      </c>
      <c r="C28" s="507"/>
    </row>
    <row r="29" spans="1:3" s="39" customFormat="1" ht="12.15" customHeight="1" thickBot="1" x14ac:dyDescent="0.3">
      <c r="A29" s="207" t="s">
        <v>200</v>
      </c>
      <c r="B29" s="57" t="s">
        <v>461</v>
      </c>
      <c r="C29" s="511"/>
    </row>
    <row r="30" spans="1:3" s="39" customFormat="1" ht="12.15" customHeight="1" thickBot="1" x14ac:dyDescent="0.3">
      <c r="A30" s="74" t="s">
        <v>20</v>
      </c>
      <c r="B30" s="54" t="s">
        <v>337</v>
      </c>
      <c r="C30" s="502">
        <f>+C31+C32+C33</f>
        <v>0</v>
      </c>
    </row>
    <row r="31" spans="1:3" s="39" customFormat="1" ht="12.15" customHeight="1" x14ac:dyDescent="0.25">
      <c r="A31" s="208" t="s">
        <v>78</v>
      </c>
      <c r="B31" s="209" t="s">
        <v>221</v>
      </c>
      <c r="C31" s="510"/>
    </row>
    <row r="32" spans="1:3" s="39" customFormat="1" ht="12.15" customHeight="1" x14ac:dyDescent="0.25">
      <c r="A32" s="208" t="s">
        <v>79</v>
      </c>
      <c r="B32" s="210" t="s">
        <v>222</v>
      </c>
      <c r="C32" s="505"/>
    </row>
    <row r="33" spans="1:3" s="38" customFormat="1" ht="12.15" customHeight="1" thickBot="1" x14ac:dyDescent="0.3">
      <c r="A33" s="207" t="s">
        <v>80</v>
      </c>
      <c r="B33" s="57" t="s">
        <v>223</v>
      </c>
      <c r="C33" s="511"/>
    </row>
    <row r="34" spans="1:3" s="38" customFormat="1" ht="12.15" customHeight="1" thickBot="1" x14ac:dyDescent="0.3">
      <c r="A34" s="74" t="s">
        <v>21</v>
      </c>
      <c r="B34" s="54" t="s">
        <v>309</v>
      </c>
      <c r="C34" s="1023"/>
    </row>
    <row r="35" spans="1:3" s="38" customFormat="1" ht="12.15" customHeight="1" thickBot="1" x14ac:dyDescent="0.3">
      <c r="A35" s="74" t="s">
        <v>22</v>
      </c>
      <c r="B35" s="54" t="s">
        <v>338</v>
      </c>
      <c r="C35" s="158"/>
    </row>
    <row r="36" spans="1:3" s="38" customFormat="1" ht="12.15" customHeight="1" thickBot="1" x14ac:dyDescent="0.3">
      <c r="A36" s="71" t="s">
        <v>23</v>
      </c>
      <c r="B36" s="54" t="s">
        <v>339</v>
      </c>
      <c r="C36" s="634">
        <f>+C7+C19+C24+C25+C30+C34+C35</f>
        <v>10122756</v>
      </c>
    </row>
    <row r="37" spans="1:3" s="38" customFormat="1" ht="12.15" customHeight="1" thickBot="1" x14ac:dyDescent="0.3">
      <c r="A37" s="85" t="s">
        <v>24</v>
      </c>
      <c r="B37" s="54" t="s">
        <v>340</v>
      </c>
      <c r="C37" s="634">
        <f>+C38+C39+C40</f>
        <v>581795970</v>
      </c>
    </row>
    <row r="38" spans="1:3" s="38" customFormat="1" ht="12.15" customHeight="1" x14ac:dyDescent="0.25">
      <c r="A38" s="208" t="s">
        <v>341</v>
      </c>
      <c r="B38" s="209" t="s">
        <v>166</v>
      </c>
      <c r="C38" s="34">
        <v>189372</v>
      </c>
    </row>
    <row r="39" spans="1:3" s="39" customFormat="1" ht="12.15" customHeight="1" x14ac:dyDescent="0.25">
      <c r="A39" s="208" t="s">
        <v>342</v>
      </c>
      <c r="B39" s="210" t="s">
        <v>6</v>
      </c>
      <c r="C39" s="125"/>
    </row>
    <row r="40" spans="1:3" s="39" customFormat="1" ht="15" customHeight="1" thickBot="1" x14ac:dyDescent="0.3">
      <c r="A40" s="207" t="s">
        <v>343</v>
      </c>
      <c r="B40" s="57" t="s">
        <v>344</v>
      </c>
      <c r="C40" s="799">
        <f>581436598+170000</f>
        <v>581606598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4">
        <f>+C36+C37</f>
        <v>591918726</v>
      </c>
    </row>
    <row r="42" spans="1:3" s="213" customFormat="1" ht="12.15" customHeight="1" thickBot="1" x14ac:dyDescent="0.3">
      <c r="A42" s="91"/>
      <c r="B42" s="92" t="s">
        <v>53</v>
      </c>
      <c r="C42" s="514"/>
    </row>
    <row r="43" spans="1:3" ht="12.15" customHeight="1" thickBot="1" x14ac:dyDescent="0.3">
      <c r="A43" s="74" t="s">
        <v>16</v>
      </c>
      <c r="B43" s="54" t="s">
        <v>346</v>
      </c>
      <c r="C43" s="502">
        <f>SUM(C44:C48)</f>
        <v>587844566</v>
      </c>
    </row>
    <row r="44" spans="1:3" ht="12.15" customHeight="1" x14ac:dyDescent="0.25">
      <c r="A44" s="207" t="s">
        <v>85</v>
      </c>
      <c r="B44" s="6" t="s">
        <v>46</v>
      </c>
      <c r="C44" s="251">
        <v>409187149</v>
      </c>
    </row>
    <row r="45" spans="1:3" ht="12.15" customHeight="1" x14ac:dyDescent="0.25">
      <c r="A45" s="207" t="s">
        <v>86</v>
      </c>
      <c r="B45" s="5" t="s">
        <v>134</v>
      </c>
      <c r="C45" s="114">
        <v>51190551</v>
      </c>
    </row>
    <row r="46" spans="1:3" ht="12.15" customHeight="1" x14ac:dyDescent="0.25">
      <c r="A46" s="207" t="s">
        <v>87</v>
      </c>
      <c r="B46" s="5" t="s">
        <v>110</v>
      </c>
      <c r="C46" s="1083">
        <f>127296866+170000</f>
        <v>127466866</v>
      </c>
    </row>
    <row r="47" spans="1:3" ht="12.15" customHeight="1" x14ac:dyDescent="0.25">
      <c r="A47" s="207" t="s">
        <v>88</v>
      </c>
      <c r="B47" s="5" t="s">
        <v>135</v>
      </c>
      <c r="C47" s="504"/>
    </row>
    <row r="48" spans="1:3" ht="12.15" customHeight="1" thickBot="1" x14ac:dyDescent="0.3">
      <c r="A48" s="207" t="s">
        <v>111</v>
      </c>
      <c r="B48" s="5" t="s">
        <v>136</v>
      </c>
      <c r="C48" s="504"/>
    </row>
    <row r="49" spans="1:3" s="213" customFormat="1" ht="12.15" customHeight="1" thickBot="1" x14ac:dyDescent="0.3">
      <c r="A49" s="74" t="s">
        <v>17</v>
      </c>
      <c r="B49" s="54" t="s">
        <v>347</v>
      </c>
      <c r="C49" s="502">
        <f>SUM(C50:C52)</f>
        <v>4074160</v>
      </c>
    </row>
    <row r="50" spans="1:3" ht="12.15" customHeight="1" x14ac:dyDescent="0.25">
      <c r="A50" s="207" t="s">
        <v>91</v>
      </c>
      <c r="B50" s="6" t="s">
        <v>157</v>
      </c>
      <c r="C50" s="214">
        <v>4074160</v>
      </c>
    </row>
    <row r="51" spans="1:3" ht="12.15" customHeight="1" x14ac:dyDescent="0.25">
      <c r="A51" s="207" t="s">
        <v>92</v>
      </c>
      <c r="B51" s="5" t="s">
        <v>138</v>
      </c>
      <c r="C51" s="36"/>
    </row>
    <row r="52" spans="1:3" ht="12.15" customHeight="1" x14ac:dyDescent="0.25">
      <c r="A52" s="207" t="s">
        <v>93</v>
      </c>
      <c r="B52" s="5" t="s">
        <v>54</v>
      </c>
      <c r="C52" s="504"/>
    </row>
    <row r="53" spans="1:3" ht="15" customHeight="1" thickBot="1" x14ac:dyDescent="0.3">
      <c r="A53" s="207" t="s">
        <v>94</v>
      </c>
      <c r="B53" s="5" t="s">
        <v>462</v>
      </c>
      <c r="C53" s="504"/>
    </row>
    <row r="54" spans="1:3" ht="13.8" thickBot="1" x14ac:dyDescent="0.3">
      <c r="A54" s="74" t="s">
        <v>18</v>
      </c>
      <c r="B54" s="54" t="s">
        <v>12</v>
      </c>
      <c r="C54" s="509"/>
    </row>
    <row r="55" spans="1:3" ht="15" customHeight="1" thickBot="1" x14ac:dyDescent="0.3">
      <c r="A55" s="74" t="s">
        <v>19</v>
      </c>
      <c r="B55" s="93" t="s">
        <v>463</v>
      </c>
      <c r="C55" s="517">
        <f>+C43+C49+C54</f>
        <v>591918726</v>
      </c>
    </row>
    <row r="56" spans="1:3" ht="13.8" thickBot="1" x14ac:dyDescent="0.3">
      <c r="A56" s="1341" t="s">
        <v>456</v>
      </c>
      <c r="B56" s="1342"/>
      <c r="C56" s="391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sqref="A1:C1"/>
    </sheetView>
  </sheetViews>
  <sheetFormatPr defaultRowHeight="13.2" x14ac:dyDescent="0.25"/>
  <cols>
    <col min="1" max="1" width="13.77734375" customWidth="1"/>
    <col min="2" max="2" width="79.109375" customWidth="1"/>
    <col min="3" max="3" width="25" customWidth="1"/>
  </cols>
  <sheetData>
    <row r="1" spans="1:3" x14ac:dyDescent="0.25">
      <c r="A1" s="1340" t="str">
        <f>CONCATENATE("23. melléklet"," ",ALAPADATOK!A7," ",ALAPADATOK!B7," ",ALAPADATOK!C7," ",ALAPADATOK!D7," ",ALAPADATOK!E7," ",ALAPADATOK!F7," ",ALAPADATOK!G7," ",ALAPADATOK!H7)</f>
        <v>23. melléklet a …. / 2024. ( .... ) önkormányzati rendelethez</v>
      </c>
      <c r="B1" s="1340"/>
      <c r="C1" s="1340"/>
    </row>
    <row r="2" spans="1:3" x14ac:dyDescent="0.25">
      <c r="A2" s="76"/>
      <c r="B2" s="76"/>
      <c r="C2" s="211" t="s">
        <v>972</v>
      </c>
    </row>
    <row r="3" spans="1:3" ht="16.2" thickBot="1" x14ac:dyDescent="0.3">
      <c r="A3" s="1290" t="s">
        <v>916</v>
      </c>
      <c r="B3" s="1290"/>
      <c r="C3" s="1290"/>
    </row>
    <row r="4" spans="1:3" ht="13.8" thickBot="1" x14ac:dyDescent="0.3">
      <c r="A4" s="172" t="s">
        <v>153</v>
      </c>
      <c r="B4" s="79" t="s">
        <v>50</v>
      </c>
      <c r="C4" s="80" t="s">
        <v>51</v>
      </c>
    </row>
    <row r="5" spans="1:3" ht="13.8" thickBot="1" x14ac:dyDescent="0.3">
      <c r="A5" s="71" t="s">
        <v>382</v>
      </c>
      <c r="B5" s="72" t="s">
        <v>383</v>
      </c>
      <c r="C5" s="73" t="s">
        <v>384</v>
      </c>
    </row>
    <row r="6" spans="1:3" ht="13.8" thickBot="1" x14ac:dyDescent="0.3">
      <c r="A6" s="81"/>
      <c r="B6" s="82" t="s">
        <v>52</v>
      </c>
      <c r="C6" s="83"/>
    </row>
    <row r="7" spans="1:3" ht="13.8" thickBot="1" x14ac:dyDescent="0.3">
      <c r="A7" s="71" t="s">
        <v>16</v>
      </c>
      <c r="B7" s="84" t="s">
        <v>458</v>
      </c>
      <c r="C7" s="124">
        <f>SUM(C8:C18)</f>
        <v>0</v>
      </c>
    </row>
    <row r="8" spans="1:3" x14ac:dyDescent="0.25">
      <c r="A8" s="206" t="s">
        <v>85</v>
      </c>
      <c r="B8" s="7" t="s">
        <v>207</v>
      </c>
      <c r="C8" s="156"/>
    </row>
    <row r="9" spans="1:3" x14ac:dyDescent="0.25">
      <c r="A9" s="207" t="s">
        <v>86</v>
      </c>
      <c r="B9" s="5" t="s">
        <v>208</v>
      </c>
      <c r="C9" s="36"/>
    </row>
    <row r="10" spans="1:3" x14ac:dyDescent="0.25">
      <c r="A10" s="207" t="s">
        <v>87</v>
      </c>
      <c r="B10" s="5" t="s">
        <v>209</v>
      </c>
      <c r="C10" s="36"/>
    </row>
    <row r="11" spans="1:3" x14ac:dyDescent="0.25">
      <c r="A11" s="207" t="s">
        <v>88</v>
      </c>
      <c r="B11" s="5" t="s">
        <v>210</v>
      </c>
      <c r="C11" s="36"/>
    </row>
    <row r="12" spans="1:3" x14ac:dyDescent="0.25">
      <c r="A12" s="207" t="s">
        <v>111</v>
      </c>
      <c r="B12" s="5" t="s">
        <v>211</v>
      </c>
      <c r="C12" s="36"/>
    </row>
    <row r="13" spans="1:3" x14ac:dyDescent="0.25">
      <c r="A13" s="207" t="s">
        <v>89</v>
      </c>
      <c r="B13" s="5" t="s">
        <v>331</v>
      </c>
      <c r="C13" s="36"/>
    </row>
    <row r="14" spans="1:3" x14ac:dyDescent="0.25">
      <c r="A14" s="207" t="s">
        <v>90</v>
      </c>
      <c r="B14" s="4" t="s">
        <v>332</v>
      </c>
      <c r="C14" s="36"/>
    </row>
    <row r="15" spans="1:3" x14ac:dyDescent="0.25">
      <c r="A15" s="207" t="s">
        <v>100</v>
      </c>
      <c r="B15" s="5" t="s">
        <v>214</v>
      </c>
      <c r="C15" s="125"/>
    </row>
    <row r="16" spans="1:3" x14ac:dyDescent="0.25">
      <c r="A16" s="207" t="s">
        <v>101</v>
      </c>
      <c r="B16" s="5" t="s">
        <v>215</v>
      </c>
      <c r="C16" s="36"/>
    </row>
    <row r="17" spans="1:3" x14ac:dyDescent="0.25">
      <c r="A17" s="207" t="s">
        <v>102</v>
      </c>
      <c r="B17" s="5" t="s">
        <v>388</v>
      </c>
      <c r="C17" s="389"/>
    </row>
    <row r="18" spans="1:3" ht="13.8" thickBot="1" x14ac:dyDescent="0.3">
      <c r="A18" s="207" t="s">
        <v>103</v>
      </c>
      <c r="B18" s="4" t="s">
        <v>216</v>
      </c>
      <c r="C18" s="389"/>
    </row>
    <row r="19" spans="1:3" ht="13.8" thickBot="1" x14ac:dyDescent="0.3">
      <c r="A19" s="71" t="s">
        <v>17</v>
      </c>
      <c r="B19" s="84" t="s">
        <v>333</v>
      </c>
      <c r="C19" s="124">
        <f>SUM(C20:C22)</f>
        <v>0</v>
      </c>
    </row>
    <row r="20" spans="1:3" x14ac:dyDescent="0.25">
      <c r="A20" s="207" t="s">
        <v>91</v>
      </c>
      <c r="B20" s="6" t="s">
        <v>185</v>
      </c>
      <c r="C20" s="122"/>
    </row>
    <row r="21" spans="1:3" x14ac:dyDescent="0.25">
      <c r="A21" s="207" t="s">
        <v>92</v>
      </c>
      <c r="B21" s="5" t="s">
        <v>334</v>
      </c>
      <c r="C21" s="36"/>
    </row>
    <row r="22" spans="1:3" x14ac:dyDescent="0.25">
      <c r="A22" s="207" t="s">
        <v>93</v>
      </c>
      <c r="B22" s="5" t="s">
        <v>335</v>
      </c>
      <c r="C22" s="636"/>
    </row>
    <row r="23" spans="1:3" ht="13.8" thickBot="1" x14ac:dyDescent="0.3">
      <c r="A23" s="207" t="s">
        <v>94</v>
      </c>
      <c r="B23" s="5" t="s">
        <v>459</v>
      </c>
      <c r="C23" s="36"/>
    </row>
    <row r="24" spans="1:3" ht="13.8" thickBot="1" x14ac:dyDescent="0.3">
      <c r="A24" s="74" t="s">
        <v>18</v>
      </c>
      <c r="B24" s="54" t="s">
        <v>125</v>
      </c>
      <c r="C24" s="142"/>
    </row>
    <row r="25" spans="1:3" ht="13.8" thickBot="1" x14ac:dyDescent="0.3">
      <c r="A25" s="74" t="s">
        <v>19</v>
      </c>
      <c r="B25" s="54" t="s">
        <v>460</v>
      </c>
      <c r="C25" s="124">
        <f>+C26+C27+C28</f>
        <v>0</v>
      </c>
    </row>
    <row r="26" spans="1:3" x14ac:dyDescent="0.25">
      <c r="A26" s="208" t="s">
        <v>195</v>
      </c>
      <c r="B26" s="209" t="s">
        <v>190</v>
      </c>
      <c r="C26" s="34"/>
    </row>
    <row r="27" spans="1:3" x14ac:dyDescent="0.25">
      <c r="A27" s="208" t="s">
        <v>198</v>
      </c>
      <c r="B27" s="209" t="s">
        <v>334</v>
      </c>
      <c r="C27" s="122"/>
    </row>
    <row r="28" spans="1:3" x14ac:dyDescent="0.25">
      <c r="A28" s="208" t="s">
        <v>199</v>
      </c>
      <c r="B28" s="210" t="s">
        <v>336</v>
      </c>
      <c r="C28" s="122"/>
    </row>
    <row r="29" spans="1:3" ht="13.8" thickBot="1" x14ac:dyDescent="0.3">
      <c r="A29" s="207" t="s">
        <v>200</v>
      </c>
      <c r="B29" s="57" t="s">
        <v>461</v>
      </c>
      <c r="C29" s="633"/>
    </row>
    <row r="30" spans="1:3" ht="13.8" thickBot="1" x14ac:dyDescent="0.3">
      <c r="A30" s="74" t="s">
        <v>20</v>
      </c>
      <c r="B30" s="54" t="s">
        <v>337</v>
      </c>
      <c r="C30" s="124">
        <f>+C31+C32+C33</f>
        <v>0</v>
      </c>
    </row>
    <row r="31" spans="1:3" x14ac:dyDescent="0.25">
      <c r="A31" s="208" t="s">
        <v>78</v>
      </c>
      <c r="B31" s="209" t="s">
        <v>221</v>
      </c>
      <c r="C31" s="34"/>
    </row>
    <row r="32" spans="1:3" x14ac:dyDescent="0.25">
      <c r="A32" s="208" t="s">
        <v>79</v>
      </c>
      <c r="B32" s="210" t="s">
        <v>222</v>
      </c>
      <c r="C32" s="125"/>
    </row>
    <row r="33" spans="1:3" ht="13.8" thickBot="1" x14ac:dyDescent="0.3">
      <c r="A33" s="207" t="s">
        <v>80</v>
      </c>
      <c r="B33" s="57" t="s">
        <v>223</v>
      </c>
      <c r="C33" s="633"/>
    </row>
    <row r="34" spans="1:3" ht="13.8" thickBot="1" x14ac:dyDescent="0.3">
      <c r="A34" s="74" t="s">
        <v>21</v>
      </c>
      <c r="B34" s="54" t="s">
        <v>309</v>
      </c>
      <c r="C34" s="142"/>
    </row>
    <row r="35" spans="1:3" ht="13.8" thickBot="1" x14ac:dyDescent="0.3">
      <c r="A35" s="74" t="s">
        <v>22</v>
      </c>
      <c r="B35" s="54" t="s">
        <v>338</v>
      </c>
      <c r="C35" s="158"/>
    </row>
    <row r="36" spans="1:3" ht="13.8" thickBot="1" x14ac:dyDescent="0.3">
      <c r="A36" s="71" t="s">
        <v>23</v>
      </c>
      <c r="B36" s="54" t="s">
        <v>339</v>
      </c>
      <c r="C36" s="634">
        <f>+C7+C19+C24+C25+C30+C34+C35</f>
        <v>0</v>
      </c>
    </row>
    <row r="37" spans="1:3" ht="13.8" thickBot="1" x14ac:dyDescent="0.3">
      <c r="A37" s="85" t="s">
        <v>24</v>
      </c>
      <c r="B37" s="54" t="s">
        <v>340</v>
      </c>
      <c r="C37" s="634">
        <f>+C38+C39+C40</f>
        <v>0</v>
      </c>
    </row>
    <row r="38" spans="1:3" x14ac:dyDescent="0.25">
      <c r="A38" s="208" t="s">
        <v>341</v>
      </c>
      <c r="B38" s="209" t="s">
        <v>166</v>
      </c>
      <c r="C38" s="34"/>
    </row>
    <row r="39" spans="1:3" x14ac:dyDescent="0.25">
      <c r="A39" s="208" t="s">
        <v>342</v>
      </c>
      <c r="B39" s="210" t="s">
        <v>6</v>
      </c>
      <c r="C39" s="125"/>
    </row>
    <row r="40" spans="1:3" ht="13.8" thickBot="1" x14ac:dyDescent="0.3">
      <c r="A40" s="207" t="s">
        <v>343</v>
      </c>
      <c r="B40" s="57" t="s">
        <v>344</v>
      </c>
      <c r="C40" s="633"/>
    </row>
    <row r="41" spans="1:3" ht="13.8" thickBot="1" x14ac:dyDescent="0.3">
      <c r="A41" s="85" t="s">
        <v>25</v>
      </c>
      <c r="B41" s="86" t="s">
        <v>345</v>
      </c>
      <c r="C41" s="161">
        <f>+C36+C37</f>
        <v>0</v>
      </c>
    </row>
    <row r="42" spans="1:3" x14ac:dyDescent="0.25">
      <c r="A42" s="87"/>
      <c r="B42" s="88"/>
      <c r="C42" s="159"/>
    </row>
    <row r="43" spans="1:3" ht="13.8" thickBot="1" x14ac:dyDescent="0.3">
      <c r="A43" s="89"/>
      <c r="B43" s="90"/>
      <c r="C43" s="160"/>
    </row>
    <row r="44" spans="1:3" ht="13.8" thickBot="1" x14ac:dyDescent="0.3">
      <c r="A44" s="91"/>
      <c r="B44" s="92" t="s">
        <v>53</v>
      </c>
      <c r="C44" s="161"/>
    </row>
    <row r="45" spans="1:3" ht="13.8" thickBot="1" x14ac:dyDescent="0.3">
      <c r="A45" s="74" t="s">
        <v>16</v>
      </c>
      <c r="B45" s="54" t="s">
        <v>346</v>
      </c>
      <c r="C45" s="124">
        <f>SUM(C46:C50)</f>
        <v>0</v>
      </c>
    </row>
    <row r="46" spans="1:3" x14ac:dyDescent="0.25">
      <c r="A46" s="207" t="s">
        <v>85</v>
      </c>
      <c r="B46" s="6" t="s">
        <v>46</v>
      </c>
      <c r="C46" s="635"/>
    </row>
    <row r="47" spans="1:3" x14ac:dyDescent="0.25">
      <c r="A47" s="207" t="s">
        <v>86</v>
      </c>
      <c r="B47" s="5" t="s">
        <v>134</v>
      </c>
      <c r="C47" s="636"/>
    </row>
    <row r="48" spans="1:3" x14ac:dyDescent="0.25">
      <c r="A48" s="207" t="s">
        <v>87</v>
      </c>
      <c r="B48" s="5" t="s">
        <v>110</v>
      </c>
      <c r="C48" s="504"/>
    </row>
    <row r="49" spans="1:3" x14ac:dyDescent="0.25">
      <c r="A49" s="207" t="s">
        <v>88</v>
      </c>
      <c r="B49" s="5" t="s">
        <v>135</v>
      </c>
      <c r="C49" s="36"/>
    </row>
    <row r="50" spans="1:3" ht="13.8" thickBot="1" x14ac:dyDescent="0.3">
      <c r="A50" s="207" t="s">
        <v>111</v>
      </c>
      <c r="B50" s="5" t="s">
        <v>136</v>
      </c>
      <c r="C50" s="36"/>
    </row>
    <row r="51" spans="1:3" ht="13.8" thickBot="1" x14ac:dyDescent="0.3">
      <c r="A51" s="74" t="s">
        <v>17</v>
      </c>
      <c r="B51" s="54" t="s">
        <v>347</v>
      </c>
      <c r="C51" s="124">
        <f>SUM(C52:C54)</f>
        <v>0</v>
      </c>
    </row>
    <row r="52" spans="1:3" x14ac:dyDescent="0.25">
      <c r="A52" s="207" t="s">
        <v>91</v>
      </c>
      <c r="B52" s="6" t="s">
        <v>157</v>
      </c>
      <c r="C52" s="635"/>
    </row>
    <row r="53" spans="1:3" x14ac:dyDescent="0.25">
      <c r="A53" s="207" t="s">
        <v>92</v>
      </c>
      <c r="B53" s="5" t="s">
        <v>138</v>
      </c>
      <c r="C53" s="36"/>
    </row>
    <row r="54" spans="1:3" x14ac:dyDescent="0.25">
      <c r="A54" s="207" t="s">
        <v>93</v>
      </c>
      <c r="B54" s="5" t="s">
        <v>54</v>
      </c>
      <c r="C54" s="36"/>
    </row>
    <row r="55" spans="1:3" ht="13.8" thickBot="1" x14ac:dyDescent="0.3">
      <c r="A55" s="207" t="s">
        <v>94</v>
      </c>
      <c r="B55" s="5" t="s">
        <v>462</v>
      </c>
      <c r="C55" s="36"/>
    </row>
    <row r="56" spans="1:3" ht="13.8" thickBot="1" x14ac:dyDescent="0.3">
      <c r="A56" s="74" t="s">
        <v>18</v>
      </c>
      <c r="B56" s="54" t="s">
        <v>12</v>
      </c>
      <c r="C56" s="142"/>
    </row>
    <row r="57" spans="1:3" ht="13.8" thickBot="1" x14ac:dyDescent="0.3">
      <c r="A57" s="74" t="s">
        <v>19</v>
      </c>
      <c r="B57" s="93" t="s">
        <v>463</v>
      </c>
      <c r="C57" s="162">
        <f>+C45+C51+C56</f>
        <v>0</v>
      </c>
    </row>
    <row r="58" spans="1:3" ht="13.8" thickBot="1" x14ac:dyDescent="0.3">
      <c r="A58" s="94"/>
      <c r="B58" s="301"/>
      <c r="C58" s="163"/>
    </row>
    <row r="59" spans="1:3" ht="13.8" thickBot="1" x14ac:dyDescent="0.3">
      <c r="A59" s="95" t="s">
        <v>456</v>
      </c>
      <c r="B59" s="96"/>
      <c r="C59" s="391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A2" sqref="A2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4" width="9.33203125" style="301" customWidth="1"/>
    <col min="5" max="5" width="11.77734375" style="609" hidden="1" customWidth="1"/>
    <col min="6" max="6" width="12.6640625" style="609" hidden="1" customWidth="1"/>
    <col min="7" max="7" width="9.33203125" style="301" customWidth="1"/>
    <col min="8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16" ht="12.75" customHeight="1" x14ac:dyDescent="0.25">
      <c r="A1" s="1340" t="str">
        <f>CONCATENATE("24. melléklet"," ",ALAPADATOK!A7," ",ALAPADATOK!B7," ",ALAPADATOK!C7," ",ALAPADATOK!D7," ",ALAPADATOK!E7," ",ALAPADATOK!F7," ",ALAPADATOK!G7," ",ALAPADATOK!H7)</f>
        <v>24. melléklet a …. / 2024. ( .... ) önkormányzati rendelethez</v>
      </c>
      <c r="B1" s="1340"/>
      <c r="C1" s="1340"/>
    </row>
    <row r="2" spans="1:16" s="1" customFormat="1" ht="21.15" customHeight="1" x14ac:dyDescent="0.25">
      <c r="A2" s="75"/>
      <c r="B2" s="76"/>
      <c r="C2" s="307"/>
      <c r="E2" s="609"/>
      <c r="F2" s="609"/>
    </row>
    <row r="3" spans="1:16" s="37" customFormat="1" ht="36" customHeight="1" thickBot="1" x14ac:dyDescent="0.3">
      <c r="A3" s="1290" t="s">
        <v>875</v>
      </c>
      <c r="B3" s="1290"/>
      <c r="C3" s="1290"/>
      <c r="E3" s="462"/>
      <c r="F3" s="462"/>
    </row>
    <row r="4" spans="1:16" ht="13.8" thickBot="1" x14ac:dyDescent="0.3">
      <c r="A4" s="172" t="s">
        <v>153</v>
      </c>
      <c r="B4" s="79" t="s">
        <v>50</v>
      </c>
      <c r="C4" s="311" t="s">
        <v>845</v>
      </c>
    </row>
    <row r="5" spans="1:16" s="32" customFormat="1" ht="12.9" customHeight="1" thickBot="1" x14ac:dyDescent="0.3">
      <c r="A5" s="71" t="s">
        <v>382</v>
      </c>
      <c r="B5" s="72" t="s">
        <v>383</v>
      </c>
      <c r="C5" s="312" t="s">
        <v>384</v>
      </c>
      <c r="E5" s="463"/>
      <c r="F5" s="463"/>
    </row>
    <row r="6" spans="1:16" s="32" customFormat="1" ht="15.9" customHeight="1" thickBot="1" x14ac:dyDescent="0.3">
      <c r="A6" s="81"/>
      <c r="B6" s="82" t="s">
        <v>52</v>
      </c>
      <c r="C6" s="313"/>
      <c r="E6" s="463"/>
      <c r="F6" s="463"/>
    </row>
    <row r="7" spans="1:16" s="38" customFormat="1" ht="12.15" customHeight="1" thickBot="1" x14ac:dyDescent="0.3">
      <c r="A7" s="71" t="s">
        <v>16</v>
      </c>
      <c r="B7" s="84" t="s">
        <v>458</v>
      </c>
      <c r="C7" s="502">
        <f>SUM(C8:C18)</f>
        <v>27134400</v>
      </c>
      <c r="E7" s="464">
        <f>'25. sz. mell EKIK'!C7+'26. sz. mell EKIK'!C7</f>
        <v>27134400</v>
      </c>
      <c r="F7" s="464">
        <f>C7-E7</f>
        <v>0</v>
      </c>
    </row>
    <row r="8" spans="1:16" s="38" customFormat="1" ht="12.15" customHeight="1" x14ac:dyDescent="0.25">
      <c r="A8" s="206" t="s">
        <v>85</v>
      </c>
      <c r="B8" s="7" t="s">
        <v>207</v>
      </c>
      <c r="C8" s="503"/>
      <c r="E8" s="464">
        <f>'25. sz. mell EKIK'!C8+'26. sz. mell EKIK'!C8</f>
        <v>0</v>
      </c>
      <c r="F8" s="464">
        <f t="shared" ref="F8:F59" si="0">C8-E8</f>
        <v>0</v>
      </c>
      <c r="K8" s="37"/>
      <c r="L8" s="37"/>
      <c r="M8" s="911"/>
      <c r="N8" s="37"/>
      <c r="O8" s="37"/>
      <c r="P8" s="37"/>
    </row>
    <row r="9" spans="1:16" s="38" customFormat="1" ht="12.15" customHeight="1" x14ac:dyDescent="0.25">
      <c r="A9" s="207" t="s">
        <v>86</v>
      </c>
      <c r="B9" s="5" t="s">
        <v>208</v>
      </c>
      <c r="C9" s="36">
        <v>19574015</v>
      </c>
      <c r="E9" s="464">
        <f>'25. sz. mell EKIK'!C9+'26. sz. mell EKIK'!C9</f>
        <v>19574015</v>
      </c>
      <c r="F9" s="464">
        <f t="shared" si="0"/>
        <v>0</v>
      </c>
      <c r="K9" s="37"/>
      <c r="L9" s="37"/>
      <c r="M9" s="911"/>
      <c r="N9" s="37"/>
      <c r="O9" s="37"/>
      <c r="P9" s="37"/>
    </row>
    <row r="10" spans="1:16" s="38" customFormat="1" ht="12.15" customHeight="1" x14ac:dyDescent="0.25">
      <c r="A10" s="207" t="s">
        <v>87</v>
      </c>
      <c r="B10" s="5" t="s">
        <v>209</v>
      </c>
      <c r="C10" s="36">
        <v>320000</v>
      </c>
      <c r="E10" s="464">
        <f>'25. sz. mell EKIK'!C10+'26. sz. mell EKIK'!C10</f>
        <v>320000</v>
      </c>
      <c r="F10" s="464">
        <f t="shared" si="0"/>
        <v>0</v>
      </c>
    </row>
    <row r="11" spans="1:16" s="38" customFormat="1" ht="12.15" customHeight="1" x14ac:dyDescent="0.25">
      <c r="A11" s="207" t="s">
        <v>88</v>
      </c>
      <c r="B11" s="5" t="s">
        <v>210</v>
      </c>
      <c r="C11" s="36"/>
      <c r="E11" s="464">
        <f>'25. sz. mell EKIK'!C11+'26. sz. mell EKIK'!C11</f>
        <v>0</v>
      </c>
      <c r="F11" s="464">
        <f t="shared" si="0"/>
        <v>0</v>
      </c>
    </row>
    <row r="12" spans="1:16" s="38" customFormat="1" ht="12.15" customHeight="1" x14ac:dyDescent="0.25">
      <c r="A12" s="207" t="s">
        <v>111</v>
      </c>
      <c r="B12" s="5" t="s">
        <v>211</v>
      </c>
      <c r="C12" s="36"/>
      <c r="E12" s="464">
        <f>'25. sz. mell EKIK'!C12+'26. sz. mell EKIK'!C12</f>
        <v>0</v>
      </c>
      <c r="F12" s="464">
        <f t="shared" si="0"/>
        <v>0</v>
      </c>
    </row>
    <row r="13" spans="1:16" s="38" customFormat="1" ht="12.15" customHeight="1" x14ac:dyDescent="0.25">
      <c r="A13" s="207" t="s">
        <v>89</v>
      </c>
      <c r="B13" s="5" t="s">
        <v>331</v>
      </c>
      <c r="C13" s="36">
        <v>5371385</v>
      </c>
      <c r="E13" s="464">
        <f>'25. sz. mell EKIK'!C13+'26. sz. mell EKIK'!C13</f>
        <v>5371385</v>
      </c>
      <c r="F13" s="464">
        <f t="shared" si="0"/>
        <v>0</v>
      </c>
    </row>
    <row r="14" spans="1:16" s="38" customFormat="1" ht="12.15" customHeight="1" x14ac:dyDescent="0.25">
      <c r="A14" s="207" t="s">
        <v>90</v>
      </c>
      <c r="B14" s="4" t="s">
        <v>332</v>
      </c>
      <c r="C14" s="36">
        <v>1869000</v>
      </c>
      <c r="E14" s="464">
        <f>'25. sz. mell EKIK'!C14+'26. sz. mell EKIK'!C14</f>
        <v>1869000</v>
      </c>
      <c r="F14" s="464">
        <f t="shared" si="0"/>
        <v>0</v>
      </c>
    </row>
    <row r="15" spans="1:16" s="38" customFormat="1" ht="12.15" customHeight="1" x14ac:dyDescent="0.25">
      <c r="A15" s="207" t="s">
        <v>100</v>
      </c>
      <c r="B15" s="5" t="s">
        <v>214</v>
      </c>
      <c r="C15" s="505"/>
      <c r="E15" s="464">
        <f>'25. sz. mell EKIK'!C15+'26. sz. mell EKIK'!C15</f>
        <v>0</v>
      </c>
      <c r="F15" s="464">
        <f t="shared" si="0"/>
        <v>0</v>
      </c>
    </row>
    <row r="16" spans="1:16" s="39" customFormat="1" ht="12.15" customHeight="1" x14ac:dyDescent="0.25">
      <c r="A16" s="207" t="s">
        <v>101</v>
      </c>
      <c r="B16" s="5" t="s">
        <v>215</v>
      </c>
      <c r="C16" s="504"/>
      <c r="E16" s="464">
        <f>'25. sz. mell EKIK'!C16+'26. sz. mell EKIK'!C16</f>
        <v>0</v>
      </c>
      <c r="F16" s="464">
        <f t="shared" si="0"/>
        <v>0</v>
      </c>
    </row>
    <row r="17" spans="1:6" s="39" customFormat="1" ht="12.15" customHeight="1" x14ac:dyDescent="0.25">
      <c r="A17" s="207" t="s">
        <v>102</v>
      </c>
      <c r="B17" s="5" t="s">
        <v>388</v>
      </c>
      <c r="C17" s="506"/>
      <c r="E17" s="464">
        <f>'25. sz. mell EKIK'!C17+'26. sz. mell EKIK'!C17</f>
        <v>0</v>
      </c>
      <c r="F17" s="464">
        <f t="shared" si="0"/>
        <v>0</v>
      </c>
    </row>
    <row r="18" spans="1:6" s="39" customFormat="1" ht="12.15" customHeight="1" thickBot="1" x14ac:dyDescent="0.3">
      <c r="A18" s="207" t="s">
        <v>103</v>
      </c>
      <c r="B18" s="4" t="s">
        <v>216</v>
      </c>
      <c r="C18" s="389"/>
      <c r="E18" s="464">
        <f>'25. sz. mell EKIK'!C18+'26. sz. mell EKIK'!C18</f>
        <v>0</v>
      </c>
      <c r="F18" s="464">
        <f t="shared" si="0"/>
        <v>0</v>
      </c>
    </row>
    <row r="19" spans="1:6" s="38" customFormat="1" ht="12.15" customHeight="1" thickBot="1" x14ac:dyDescent="0.3">
      <c r="A19" s="71" t="s">
        <v>17</v>
      </c>
      <c r="B19" s="84" t="s">
        <v>333</v>
      </c>
      <c r="C19" s="502">
        <f>SUM(C20:C22)</f>
        <v>0</v>
      </c>
      <c r="E19" s="464">
        <f>'25. sz. mell EKIK'!C19+'26. sz. mell EKIK'!C19</f>
        <v>0</v>
      </c>
      <c r="F19" s="464">
        <f t="shared" si="0"/>
        <v>0</v>
      </c>
    </row>
    <row r="20" spans="1:6" s="39" customFormat="1" ht="12.15" customHeight="1" x14ac:dyDescent="0.25">
      <c r="A20" s="207" t="s">
        <v>91</v>
      </c>
      <c r="B20" s="6" t="s">
        <v>185</v>
      </c>
      <c r="C20" s="507"/>
      <c r="E20" s="464">
        <f>'25. sz. mell EKIK'!C20+'26. sz. mell EKIK'!C20</f>
        <v>0</v>
      </c>
      <c r="F20" s="464">
        <f t="shared" si="0"/>
        <v>0</v>
      </c>
    </row>
    <row r="21" spans="1:6" s="39" customFormat="1" ht="12.15" customHeight="1" x14ac:dyDescent="0.25">
      <c r="A21" s="207" t="s">
        <v>92</v>
      </c>
      <c r="B21" s="5" t="s">
        <v>334</v>
      </c>
      <c r="C21" s="504"/>
      <c r="E21" s="464">
        <f>'25. sz. mell EKIK'!C21+'26. sz. mell EKIK'!C21</f>
        <v>0</v>
      </c>
      <c r="F21" s="464">
        <f t="shared" si="0"/>
        <v>0</v>
      </c>
    </row>
    <row r="22" spans="1:6" s="39" customFormat="1" ht="12.15" customHeight="1" x14ac:dyDescent="0.25">
      <c r="A22" s="207" t="s">
        <v>93</v>
      </c>
      <c r="B22" s="5" t="s">
        <v>335</v>
      </c>
      <c r="C22" s="36"/>
      <c r="E22" s="464">
        <f>'25. sz. mell EKIK'!C22+'26. sz. mell EKIK'!C22</f>
        <v>0</v>
      </c>
      <c r="F22" s="464">
        <f t="shared" si="0"/>
        <v>0</v>
      </c>
    </row>
    <row r="23" spans="1:6" s="39" customFormat="1" ht="12.15" customHeight="1" thickBot="1" x14ac:dyDescent="0.3">
      <c r="A23" s="207" t="s">
        <v>94</v>
      </c>
      <c r="B23" s="5" t="s">
        <v>459</v>
      </c>
      <c r="C23" s="504">
        <v>0</v>
      </c>
      <c r="E23" s="464">
        <f>'25. sz. mell EKIK'!C23+'26. sz. mell EKIK'!C23</f>
        <v>0</v>
      </c>
      <c r="F23" s="464">
        <f t="shared" si="0"/>
        <v>0</v>
      </c>
    </row>
    <row r="24" spans="1:6" s="39" customFormat="1" ht="12.15" customHeight="1" thickBot="1" x14ac:dyDescent="0.3">
      <c r="A24" s="74" t="s">
        <v>18</v>
      </c>
      <c r="B24" s="54" t="s">
        <v>125</v>
      </c>
      <c r="C24" s="509"/>
      <c r="E24" s="464">
        <f>'25. sz. mell EKIK'!C24+'26. sz. mell EKIK'!C24</f>
        <v>0</v>
      </c>
      <c r="F24" s="464">
        <f t="shared" si="0"/>
        <v>0</v>
      </c>
    </row>
    <row r="25" spans="1:6" s="39" customFormat="1" ht="12.15" customHeight="1" thickBot="1" x14ac:dyDescent="0.3">
      <c r="A25" s="74" t="s">
        <v>19</v>
      </c>
      <c r="B25" s="54" t="s">
        <v>460</v>
      </c>
      <c r="C25" s="502">
        <f>+C26+C27+C28</f>
        <v>0</v>
      </c>
      <c r="E25" s="464">
        <f>'25. sz. mell EKIK'!C25+'26. sz. mell EKIK'!C25</f>
        <v>0</v>
      </c>
      <c r="F25" s="464">
        <f t="shared" si="0"/>
        <v>0</v>
      </c>
    </row>
    <row r="26" spans="1:6" s="39" customFormat="1" ht="12.15" customHeight="1" x14ac:dyDescent="0.25">
      <c r="A26" s="208" t="s">
        <v>195</v>
      </c>
      <c r="B26" s="209" t="s">
        <v>190</v>
      </c>
      <c r="C26" s="510"/>
      <c r="E26" s="464">
        <f>'25. sz. mell EKIK'!C26+'26. sz. mell EKIK'!C26</f>
        <v>0</v>
      </c>
      <c r="F26" s="464">
        <f t="shared" si="0"/>
        <v>0</v>
      </c>
    </row>
    <row r="27" spans="1:6" s="39" customFormat="1" ht="12.15" customHeight="1" x14ac:dyDescent="0.25">
      <c r="A27" s="208" t="s">
        <v>198</v>
      </c>
      <c r="B27" s="209" t="s">
        <v>334</v>
      </c>
      <c r="C27" s="504"/>
      <c r="E27" s="464">
        <f>'25. sz. mell EKIK'!C27+'26. sz. mell EKIK'!C27</f>
        <v>0</v>
      </c>
      <c r="F27" s="464">
        <f t="shared" si="0"/>
        <v>0</v>
      </c>
    </row>
    <row r="28" spans="1:6" s="39" customFormat="1" ht="12.15" customHeight="1" x14ac:dyDescent="0.25">
      <c r="A28" s="208" t="s">
        <v>199</v>
      </c>
      <c r="B28" s="210" t="s">
        <v>336</v>
      </c>
      <c r="C28" s="36"/>
      <c r="E28" s="464">
        <f>'25. sz. mell EKIK'!C28+'26. sz. mell EKIK'!C28</f>
        <v>0</v>
      </c>
      <c r="F28" s="464">
        <f t="shared" si="0"/>
        <v>0</v>
      </c>
    </row>
    <row r="29" spans="1:6" s="39" customFormat="1" ht="12.15" customHeight="1" thickBot="1" x14ac:dyDescent="0.3">
      <c r="A29" s="207" t="s">
        <v>200</v>
      </c>
      <c r="B29" s="57" t="s">
        <v>461</v>
      </c>
      <c r="C29" s="799"/>
      <c r="E29" s="464">
        <f>'25. sz. mell EKIK'!C29+'26. sz. mell EKIK'!C29</f>
        <v>0</v>
      </c>
      <c r="F29" s="464">
        <f t="shared" si="0"/>
        <v>0</v>
      </c>
    </row>
    <row r="30" spans="1:6" s="39" customFormat="1" ht="12.15" customHeight="1" thickBot="1" x14ac:dyDescent="0.3">
      <c r="A30" s="74" t="s">
        <v>20</v>
      </c>
      <c r="B30" s="54" t="s">
        <v>337</v>
      </c>
      <c r="C30" s="502">
        <f>+C31+C32+C33</f>
        <v>0</v>
      </c>
      <c r="E30" s="464">
        <f>'25. sz. mell EKIK'!C30+'26. sz. mell EKIK'!C30</f>
        <v>0</v>
      </c>
      <c r="F30" s="464">
        <f t="shared" si="0"/>
        <v>0</v>
      </c>
    </row>
    <row r="31" spans="1:6" s="39" customFormat="1" ht="12.15" customHeight="1" x14ac:dyDescent="0.25">
      <c r="A31" s="208" t="s">
        <v>78</v>
      </c>
      <c r="B31" s="209" t="s">
        <v>221</v>
      </c>
      <c r="C31" s="510"/>
      <c r="E31" s="464">
        <f>'25. sz. mell EKIK'!C31+'26. sz. mell EKIK'!C31</f>
        <v>0</v>
      </c>
      <c r="F31" s="464">
        <f t="shared" si="0"/>
        <v>0</v>
      </c>
    </row>
    <row r="32" spans="1:6" s="39" customFormat="1" ht="12.15" customHeight="1" x14ac:dyDescent="0.25">
      <c r="A32" s="208" t="s">
        <v>79</v>
      </c>
      <c r="B32" s="210" t="s">
        <v>222</v>
      </c>
      <c r="C32" s="505"/>
      <c r="E32" s="464">
        <f>'25. sz. mell EKIK'!C32+'26. sz. mell EKIK'!C32</f>
        <v>0</v>
      </c>
      <c r="F32" s="464">
        <f t="shared" si="0"/>
        <v>0</v>
      </c>
    </row>
    <row r="33" spans="1:6" s="38" customFormat="1" ht="12.15" customHeight="1" thickBot="1" x14ac:dyDescent="0.3">
      <c r="A33" s="207" t="s">
        <v>80</v>
      </c>
      <c r="B33" s="57" t="s">
        <v>223</v>
      </c>
      <c r="C33" s="511"/>
      <c r="E33" s="464">
        <f>'25. sz. mell EKIK'!C33+'26. sz. mell EKIK'!C33</f>
        <v>0</v>
      </c>
      <c r="F33" s="464">
        <f t="shared" si="0"/>
        <v>0</v>
      </c>
    </row>
    <row r="34" spans="1:6" s="38" customFormat="1" ht="12.15" customHeight="1" thickBot="1" x14ac:dyDescent="0.3">
      <c r="A34" s="74" t="s">
        <v>21</v>
      </c>
      <c r="B34" s="54" t="s">
        <v>309</v>
      </c>
      <c r="C34" s="509"/>
      <c r="E34" s="464">
        <f>'25. sz. mell EKIK'!C34+'26. sz. mell EKIK'!C34</f>
        <v>0</v>
      </c>
      <c r="F34" s="464">
        <f t="shared" si="0"/>
        <v>0</v>
      </c>
    </row>
    <row r="35" spans="1:6" s="38" customFormat="1" ht="12.15" customHeight="1" thickBot="1" x14ac:dyDescent="0.3">
      <c r="A35" s="74" t="s">
        <v>22</v>
      </c>
      <c r="B35" s="54" t="s">
        <v>338</v>
      </c>
      <c r="C35" s="512"/>
      <c r="E35" s="464">
        <f>'25. sz. mell EKIK'!C35+'26. sz. mell EKIK'!C35</f>
        <v>0</v>
      </c>
      <c r="F35" s="464">
        <f t="shared" si="0"/>
        <v>0</v>
      </c>
    </row>
    <row r="36" spans="1:6" s="38" customFormat="1" ht="12.15" customHeight="1" thickBot="1" x14ac:dyDescent="0.3">
      <c r="A36" s="71" t="s">
        <v>23</v>
      </c>
      <c r="B36" s="54" t="s">
        <v>339</v>
      </c>
      <c r="C36" s="513">
        <f>+C7+C19+C24+C25+C30+C34+C35</f>
        <v>27134400</v>
      </c>
      <c r="E36" s="464">
        <f>'25. sz. mell EKIK'!C36+'26. sz. mell EKIK'!C36</f>
        <v>27134400</v>
      </c>
      <c r="F36" s="464">
        <f t="shared" si="0"/>
        <v>0</v>
      </c>
    </row>
    <row r="37" spans="1:6" s="38" customFormat="1" ht="12.15" customHeight="1" thickBot="1" x14ac:dyDescent="0.3">
      <c r="A37" s="85" t="s">
        <v>24</v>
      </c>
      <c r="B37" s="54" t="s">
        <v>340</v>
      </c>
      <c r="C37" s="513">
        <f>+C38+C39+C40</f>
        <v>229788523</v>
      </c>
      <c r="E37" s="464">
        <f>'25. sz. mell EKIK'!C37+'26. sz. mell EKIK'!C37</f>
        <v>229788523</v>
      </c>
      <c r="F37" s="464">
        <f t="shared" si="0"/>
        <v>0</v>
      </c>
    </row>
    <row r="38" spans="1:6" s="38" customFormat="1" ht="12.15" customHeight="1" x14ac:dyDescent="0.25">
      <c r="A38" s="208" t="s">
        <v>341</v>
      </c>
      <c r="B38" s="209" t="s">
        <v>166</v>
      </c>
      <c r="C38" s="510">
        <v>291209</v>
      </c>
      <c r="E38" s="464">
        <f>'25. sz. mell EKIK'!C38+'26. sz. mell EKIK'!C38</f>
        <v>291209</v>
      </c>
      <c r="F38" s="464">
        <f t="shared" si="0"/>
        <v>0</v>
      </c>
    </row>
    <row r="39" spans="1:6" s="39" customFormat="1" ht="12.15" customHeight="1" x14ac:dyDescent="0.25">
      <c r="A39" s="208" t="s">
        <v>342</v>
      </c>
      <c r="B39" s="210" t="s">
        <v>6</v>
      </c>
      <c r="C39" s="505"/>
      <c r="E39" s="464">
        <f>'25. sz. mell EKIK'!C39+'26. sz. mell EKIK'!C39</f>
        <v>0</v>
      </c>
      <c r="F39" s="464">
        <f t="shared" si="0"/>
        <v>0</v>
      </c>
    </row>
    <row r="40" spans="1:6" s="39" customFormat="1" ht="15" customHeight="1" thickBot="1" x14ac:dyDescent="0.3">
      <c r="A40" s="207" t="s">
        <v>343</v>
      </c>
      <c r="B40" s="57" t="s">
        <v>344</v>
      </c>
      <c r="C40" s="633">
        <v>229497314</v>
      </c>
      <c r="E40" s="464">
        <f>'25. sz. mell EKIK'!C40+'26. sz. mell EKIK'!C40</f>
        <v>229497314</v>
      </c>
      <c r="F40" s="464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4">
        <f>+C36+C37</f>
        <v>256922923</v>
      </c>
      <c r="E41" s="464">
        <f>'25. sz. mell EKIK'!C41+'26. sz. mell EKIK'!C41</f>
        <v>256922923</v>
      </c>
      <c r="F41" s="464">
        <f t="shared" si="0"/>
        <v>0</v>
      </c>
    </row>
    <row r="42" spans="1:6" x14ac:dyDescent="0.25">
      <c r="A42" s="87"/>
      <c r="B42" s="88"/>
      <c r="C42" s="515"/>
      <c r="E42" s="464">
        <f>'25. sz. mell EKIK'!C42+'26. sz. mell EKIK'!C42</f>
        <v>0</v>
      </c>
      <c r="F42" s="464">
        <f t="shared" si="0"/>
        <v>0</v>
      </c>
    </row>
    <row r="43" spans="1:6" s="32" customFormat="1" ht="16.5" customHeight="1" thickBot="1" x14ac:dyDescent="0.3">
      <c r="A43" s="89"/>
      <c r="B43" s="90"/>
      <c r="C43" s="516"/>
      <c r="E43" s="464">
        <f>'25. sz. mell EKIK'!C43+'26. sz. mell EKIK'!C43</f>
        <v>0</v>
      </c>
      <c r="F43" s="464">
        <f t="shared" si="0"/>
        <v>0</v>
      </c>
    </row>
    <row r="44" spans="1:6" s="213" customFormat="1" ht="12.15" customHeight="1" thickBot="1" x14ac:dyDescent="0.3">
      <c r="A44" s="1335" t="s">
        <v>53</v>
      </c>
      <c r="B44" s="1336"/>
      <c r="C44" s="1337"/>
      <c r="E44" s="464">
        <f>'25. sz. mell EKIK'!C44+'26. sz. mell EKIK'!C44</f>
        <v>0</v>
      </c>
      <c r="F44" s="464">
        <f t="shared" si="0"/>
        <v>0</v>
      </c>
    </row>
    <row r="45" spans="1:6" ht="12.15" customHeight="1" thickBot="1" x14ac:dyDescent="0.3">
      <c r="A45" s="74" t="s">
        <v>16</v>
      </c>
      <c r="B45" s="54" t="s">
        <v>346</v>
      </c>
      <c r="C45" s="502">
        <f>SUM(C46:C50)</f>
        <v>252669923</v>
      </c>
      <c r="E45" s="464">
        <f>'25. sz. mell EKIK'!C45+'26. sz. mell EKIK'!C45</f>
        <v>252669923</v>
      </c>
      <c r="F45" s="464">
        <f t="shared" si="0"/>
        <v>0</v>
      </c>
    </row>
    <row r="46" spans="1:6" ht="12.15" customHeight="1" x14ac:dyDescent="0.25">
      <c r="A46" s="207" t="s">
        <v>85</v>
      </c>
      <c r="B46" s="6" t="s">
        <v>46</v>
      </c>
      <c r="C46" s="251">
        <v>102620682</v>
      </c>
      <c r="E46" s="464">
        <f>'25. sz. mell EKIK'!C46+'26. sz. mell EKIK'!C46</f>
        <v>102620682</v>
      </c>
      <c r="F46" s="464">
        <f t="shared" si="0"/>
        <v>0</v>
      </c>
    </row>
    <row r="47" spans="1:6" ht="12.15" customHeight="1" x14ac:dyDescent="0.25">
      <c r="A47" s="207" t="s">
        <v>86</v>
      </c>
      <c r="B47" s="5" t="s">
        <v>134</v>
      </c>
      <c r="C47" s="114">
        <v>14528745</v>
      </c>
      <c r="E47" s="464">
        <f>'25. sz. mell EKIK'!C47+'26. sz. mell EKIK'!C47</f>
        <v>14528745</v>
      </c>
      <c r="F47" s="464">
        <f>C47-E47</f>
        <v>0</v>
      </c>
    </row>
    <row r="48" spans="1:6" ht="12.15" customHeight="1" x14ac:dyDescent="0.25">
      <c r="A48" s="207" t="s">
        <v>87</v>
      </c>
      <c r="B48" s="5" t="s">
        <v>110</v>
      </c>
      <c r="C48" s="114">
        <v>135519496</v>
      </c>
      <c r="E48" s="464">
        <f>'25. sz. mell EKIK'!C48+'26. sz. mell EKIK'!C48</f>
        <v>135519496</v>
      </c>
      <c r="F48" s="464">
        <f>C48-E48</f>
        <v>0</v>
      </c>
    </row>
    <row r="49" spans="1:6" ht="12.15" customHeight="1" x14ac:dyDescent="0.25">
      <c r="A49" s="207" t="s">
        <v>88</v>
      </c>
      <c r="B49" s="5" t="s">
        <v>135</v>
      </c>
      <c r="C49" s="504"/>
      <c r="E49" s="464">
        <f>'25. sz. mell EKIK'!C49+'26. sz. mell EKIK'!C49</f>
        <v>0</v>
      </c>
      <c r="F49" s="464">
        <f t="shared" si="0"/>
        <v>0</v>
      </c>
    </row>
    <row r="50" spans="1:6" ht="12.15" customHeight="1" thickBot="1" x14ac:dyDescent="0.3">
      <c r="A50" s="207" t="s">
        <v>111</v>
      </c>
      <c r="B50" s="5" t="s">
        <v>136</v>
      </c>
      <c r="C50" s="36">
        <v>1000</v>
      </c>
      <c r="E50" s="464">
        <f>'25. sz. mell EKIK'!C50+'26. sz. mell EKIK'!C50</f>
        <v>1000</v>
      </c>
      <c r="F50" s="464">
        <f t="shared" si="0"/>
        <v>0</v>
      </c>
    </row>
    <row r="51" spans="1:6" s="213" customFormat="1" ht="12.15" customHeight="1" thickBot="1" x14ac:dyDescent="0.3">
      <c r="A51" s="74" t="s">
        <v>17</v>
      </c>
      <c r="B51" s="54" t="s">
        <v>347</v>
      </c>
      <c r="C51" s="502">
        <f>SUM(C52:C54)</f>
        <v>4253000</v>
      </c>
      <c r="E51" s="464">
        <f>'25. sz. mell EKIK'!C51+'26. sz. mell EKIK'!C51</f>
        <v>4253000</v>
      </c>
      <c r="F51" s="464">
        <f t="shared" si="0"/>
        <v>0</v>
      </c>
    </row>
    <row r="52" spans="1:6" ht="12.15" customHeight="1" x14ac:dyDescent="0.25">
      <c r="A52" s="207" t="s">
        <v>91</v>
      </c>
      <c r="B52" s="6" t="s">
        <v>157</v>
      </c>
      <c r="C52" s="34">
        <v>4253000</v>
      </c>
      <c r="E52" s="464">
        <f>'25. sz. mell EKIK'!C52+'26. sz. mell EKIK'!C52</f>
        <v>4253000</v>
      </c>
      <c r="F52" s="464">
        <f t="shared" si="0"/>
        <v>0</v>
      </c>
    </row>
    <row r="53" spans="1:6" ht="12.15" customHeight="1" x14ac:dyDescent="0.25">
      <c r="A53" s="207" t="s">
        <v>92</v>
      </c>
      <c r="B53" s="5" t="s">
        <v>138</v>
      </c>
      <c r="C53" s="636"/>
      <c r="E53" s="464">
        <f>'25. sz. mell EKIK'!C53+'26. sz. mell EKIK'!C53</f>
        <v>0</v>
      </c>
      <c r="F53" s="464">
        <f t="shared" si="0"/>
        <v>0</v>
      </c>
    </row>
    <row r="54" spans="1:6" ht="12.15" customHeight="1" x14ac:dyDescent="0.25">
      <c r="A54" s="207" t="s">
        <v>93</v>
      </c>
      <c r="B54" s="5" t="s">
        <v>54</v>
      </c>
      <c r="C54" s="504"/>
      <c r="E54" s="464">
        <f>'25. sz. mell EKIK'!C54+'26. sz. mell EKIK'!C54</f>
        <v>0</v>
      </c>
      <c r="F54" s="464">
        <f t="shared" si="0"/>
        <v>0</v>
      </c>
    </row>
    <row r="55" spans="1:6" ht="15" customHeight="1" thickBot="1" x14ac:dyDescent="0.3">
      <c r="A55" s="207" t="s">
        <v>94</v>
      </c>
      <c r="B55" s="5" t="s">
        <v>462</v>
      </c>
      <c r="C55" s="504"/>
      <c r="E55" s="464">
        <f>'25. sz. mell EKIK'!C55+'26. sz. mell EKIK'!C55</f>
        <v>0</v>
      </c>
      <c r="F55" s="464">
        <f t="shared" si="0"/>
        <v>0</v>
      </c>
    </row>
    <row r="56" spans="1:6" ht="13.8" thickBot="1" x14ac:dyDescent="0.3">
      <c r="A56" s="74" t="s">
        <v>18</v>
      </c>
      <c r="B56" s="54" t="s">
        <v>12</v>
      </c>
      <c r="C56" s="509"/>
      <c r="E56" s="464">
        <f>'25. sz. mell EKIK'!C56+'26. sz. mell EKIK'!C56</f>
        <v>0</v>
      </c>
      <c r="F56" s="464">
        <f t="shared" si="0"/>
        <v>0</v>
      </c>
    </row>
    <row r="57" spans="1:6" ht="15" customHeight="1" thickBot="1" x14ac:dyDescent="0.3">
      <c r="A57" s="74" t="s">
        <v>19</v>
      </c>
      <c r="B57" s="93" t="s">
        <v>463</v>
      </c>
      <c r="C57" s="517">
        <f>+C45+C51+C56</f>
        <v>256922923</v>
      </c>
      <c r="E57" s="464">
        <f>'25. sz. mell EKIK'!C57+'26. sz. mell EKIK'!C57</f>
        <v>256922923</v>
      </c>
      <c r="F57" s="464">
        <f t="shared" si="0"/>
        <v>0</v>
      </c>
    </row>
    <row r="58" spans="1:6" ht="14.25" customHeight="1" thickBot="1" x14ac:dyDescent="0.3">
      <c r="C58" s="518"/>
      <c r="E58" s="464">
        <f>'25. sz. mell EKIK'!C58+'26. sz. mell EKIK'!C58</f>
        <v>0</v>
      </c>
      <c r="F58" s="464">
        <f t="shared" si="0"/>
        <v>0</v>
      </c>
    </row>
    <row r="59" spans="1:6" x14ac:dyDescent="0.25">
      <c r="A59" s="1345" t="s">
        <v>456</v>
      </c>
      <c r="B59" s="1346"/>
      <c r="C59" s="818">
        <f>19.75</f>
        <v>19.75</v>
      </c>
      <c r="E59" s="464">
        <f>'25. sz. mell EKIK'!C59+'26. sz. mell EKIK'!C59</f>
        <v>19.75</v>
      </c>
      <c r="F59" s="464">
        <f t="shared" si="0"/>
        <v>0</v>
      </c>
    </row>
    <row r="60" spans="1:6" ht="13.8" thickBot="1" x14ac:dyDescent="0.3">
      <c r="A60" s="1343" t="s">
        <v>815</v>
      </c>
      <c r="B60" s="1344"/>
      <c r="C60" s="559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E22" sqref="E22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3" ht="12.75" customHeight="1" x14ac:dyDescent="0.25">
      <c r="A1" s="1340" t="str">
        <f>CONCATENATE("25. melléklet"," ",ALAPADATOK!A7," ",ALAPADATOK!B7," ",ALAPADATOK!C7," ",ALAPADATOK!D7," ",ALAPADATOK!E7," ",ALAPADATOK!F7," ",ALAPADATOK!G7," ",ALAPADATOK!H7)</f>
        <v>25. melléklet a …. / 2024. ( .... ) önkormányzati rendelethez</v>
      </c>
      <c r="B1" s="1340"/>
      <c r="C1" s="1340"/>
    </row>
    <row r="2" spans="1:3" s="1" customFormat="1" ht="21.15" customHeight="1" x14ac:dyDescent="0.25">
      <c r="A2" s="75"/>
      <c r="B2" s="76"/>
      <c r="C2" s="307"/>
    </row>
    <row r="3" spans="1:3" s="37" customFormat="1" ht="33" customHeight="1" thickBot="1" x14ac:dyDescent="0.3">
      <c r="A3" s="1290" t="s">
        <v>876</v>
      </c>
      <c r="B3" s="1290"/>
      <c r="C3" s="1290"/>
    </row>
    <row r="4" spans="1:3" ht="13.8" thickBot="1" x14ac:dyDescent="0.3">
      <c r="A4" s="172" t="s">
        <v>153</v>
      </c>
      <c r="B4" s="79" t="s">
        <v>50</v>
      </c>
      <c r="C4" s="311" t="s">
        <v>845</v>
      </c>
    </row>
    <row r="5" spans="1:3" s="32" customFormat="1" ht="12.9" customHeight="1" thickBot="1" x14ac:dyDescent="0.3">
      <c r="A5" s="71" t="s">
        <v>382</v>
      </c>
      <c r="B5" s="72" t="s">
        <v>383</v>
      </c>
      <c r="C5" s="312" t="s">
        <v>384</v>
      </c>
    </row>
    <row r="6" spans="1:3" s="32" customFormat="1" ht="15.9" customHeight="1" thickBot="1" x14ac:dyDescent="0.3">
      <c r="A6" s="81"/>
      <c r="B6" s="82" t="s">
        <v>52</v>
      </c>
      <c r="C6" s="313"/>
    </row>
    <row r="7" spans="1:3" s="38" customFormat="1" ht="12.15" customHeight="1" thickBot="1" x14ac:dyDescent="0.3">
      <c r="A7" s="71" t="s">
        <v>16</v>
      </c>
      <c r="B7" s="84" t="s">
        <v>458</v>
      </c>
      <c r="C7" s="502">
        <f>SUM(C8:C18)</f>
        <v>25134400</v>
      </c>
    </row>
    <row r="8" spans="1:3" s="38" customFormat="1" ht="12.15" customHeight="1" x14ac:dyDescent="0.25">
      <c r="A8" s="206" t="s">
        <v>85</v>
      </c>
      <c r="B8" s="7" t="s">
        <v>207</v>
      </c>
      <c r="C8" s="503"/>
    </row>
    <row r="9" spans="1:3" s="38" customFormat="1" ht="12.15" customHeight="1" x14ac:dyDescent="0.25">
      <c r="A9" s="207" t="s">
        <v>86</v>
      </c>
      <c r="B9" s="5" t="s">
        <v>208</v>
      </c>
      <c r="C9" s="214">
        <v>17999212</v>
      </c>
    </row>
    <row r="10" spans="1:3" s="38" customFormat="1" ht="12.15" customHeight="1" x14ac:dyDescent="0.25">
      <c r="A10" s="207" t="s">
        <v>87</v>
      </c>
      <c r="B10" s="5" t="s">
        <v>209</v>
      </c>
      <c r="C10" s="214">
        <v>320000</v>
      </c>
    </row>
    <row r="11" spans="1:3" s="38" customFormat="1" ht="12.15" customHeight="1" x14ac:dyDescent="0.25">
      <c r="A11" s="207" t="s">
        <v>88</v>
      </c>
      <c r="B11" s="5" t="s">
        <v>210</v>
      </c>
      <c r="C11" s="214"/>
    </row>
    <row r="12" spans="1:3" s="38" customFormat="1" ht="12.15" customHeight="1" x14ac:dyDescent="0.25">
      <c r="A12" s="207" t="s">
        <v>111</v>
      </c>
      <c r="B12" s="5" t="s">
        <v>211</v>
      </c>
      <c r="C12" s="214"/>
    </row>
    <row r="13" spans="1:3" s="38" customFormat="1" ht="12.15" customHeight="1" x14ac:dyDescent="0.25">
      <c r="A13" s="207" t="s">
        <v>89</v>
      </c>
      <c r="B13" s="5" t="s">
        <v>331</v>
      </c>
      <c r="C13" s="214">
        <v>4946188</v>
      </c>
    </row>
    <row r="14" spans="1:3" s="38" customFormat="1" ht="12.15" customHeight="1" x14ac:dyDescent="0.25">
      <c r="A14" s="207" t="s">
        <v>90</v>
      </c>
      <c r="B14" s="4" t="s">
        <v>332</v>
      </c>
      <c r="C14" s="214">
        <v>1869000</v>
      </c>
    </row>
    <row r="15" spans="1:3" s="38" customFormat="1" ht="12.15" customHeight="1" x14ac:dyDescent="0.25">
      <c r="A15" s="207" t="s">
        <v>100</v>
      </c>
      <c r="B15" s="5" t="s">
        <v>214</v>
      </c>
      <c r="C15" s="505"/>
    </row>
    <row r="16" spans="1:3" s="39" customFormat="1" ht="12.15" customHeight="1" x14ac:dyDescent="0.25">
      <c r="A16" s="207" t="s">
        <v>101</v>
      </c>
      <c r="B16" s="5" t="s">
        <v>215</v>
      </c>
      <c r="C16" s="504"/>
    </row>
    <row r="17" spans="1:3" s="39" customFormat="1" ht="12.15" customHeight="1" x14ac:dyDescent="0.25">
      <c r="A17" s="207" t="s">
        <v>102</v>
      </c>
      <c r="B17" s="5" t="s">
        <v>388</v>
      </c>
      <c r="C17" s="506"/>
    </row>
    <row r="18" spans="1:3" s="39" customFormat="1" ht="12.15" customHeight="1" thickBot="1" x14ac:dyDescent="0.3">
      <c r="A18" s="207" t="s">
        <v>103</v>
      </c>
      <c r="B18" s="4" t="s">
        <v>216</v>
      </c>
      <c r="C18" s="506"/>
    </row>
    <row r="19" spans="1:3" s="38" customFormat="1" ht="12.15" customHeight="1" thickBot="1" x14ac:dyDescent="0.3">
      <c r="A19" s="71" t="s">
        <v>17</v>
      </c>
      <c r="B19" s="84" t="s">
        <v>333</v>
      </c>
      <c r="C19" s="502">
        <f>SUM(C20:C22)</f>
        <v>0</v>
      </c>
    </row>
    <row r="20" spans="1:3" s="39" customFormat="1" ht="12.15" customHeight="1" x14ac:dyDescent="0.25">
      <c r="A20" s="207" t="s">
        <v>91</v>
      </c>
      <c r="B20" s="6" t="s">
        <v>185</v>
      </c>
      <c r="C20" s="507"/>
    </row>
    <row r="21" spans="1:3" s="39" customFormat="1" ht="12.15" customHeight="1" x14ac:dyDescent="0.25">
      <c r="A21" s="207" t="s">
        <v>92</v>
      </c>
      <c r="B21" s="5" t="s">
        <v>334</v>
      </c>
      <c r="C21" s="636"/>
    </row>
    <row r="22" spans="1:3" s="39" customFormat="1" ht="12.15" customHeight="1" x14ac:dyDescent="0.25">
      <c r="A22" s="207" t="s">
        <v>93</v>
      </c>
      <c r="B22" s="5" t="s">
        <v>335</v>
      </c>
      <c r="C22" s="36"/>
    </row>
    <row r="23" spans="1:3" s="39" customFormat="1" ht="12.15" customHeight="1" thickBot="1" x14ac:dyDescent="0.3">
      <c r="A23" s="207" t="s">
        <v>94</v>
      </c>
      <c r="B23" s="5" t="s">
        <v>459</v>
      </c>
      <c r="C23" s="504"/>
    </row>
    <row r="24" spans="1:3" s="39" customFormat="1" ht="12.15" customHeight="1" thickBot="1" x14ac:dyDescent="0.3">
      <c r="A24" s="74" t="s">
        <v>18</v>
      </c>
      <c r="B24" s="54" t="s">
        <v>125</v>
      </c>
      <c r="C24" s="509"/>
    </row>
    <row r="25" spans="1:3" s="39" customFormat="1" ht="12.15" customHeight="1" thickBot="1" x14ac:dyDescent="0.3">
      <c r="A25" s="74" t="s">
        <v>19</v>
      </c>
      <c r="B25" s="54" t="s">
        <v>460</v>
      </c>
      <c r="C25" s="502">
        <f>+C26+C27+C28</f>
        <v>0</v>
      </c>
    </row>
    <row r="26" spans="1:3" s="39" customFormat="1" ht="12.15" customHeight="1" x14ac:dyDescent="0.25">
      <c r="A26" s="208" t="s">
        <v>195</v>
      </c>
      <c r="B26" s="209" t="s">
        <v>190</v>
      </c>
      <c r="C26" s="510"/>
    </row>
    <row r="27" spans="1:3" s="39" customFormat="1" ht="12.15" customHeight="1" x14ac:dyDescent="0.25">
      <c r="A27" s="208" t="s">
        <v>198</v>
      </c>
      <c r="B27" s="209" t="s">
        <v>334</v>
      </c>
      <c r="C27" s="507"/>
    </row>
    <row r="28" spans="1:3" s="39" customFormat="1" ht="12.15" customHeight="1" x14ac:dyDescent="0.25">
      <c r="A28" s="208" t="s">
        <v>199</v>
      </c>
      <c r="B28" s="210" t="s">
        <v>336</v>
      </c>
      <c r="C28" s="36"/>
    </row>
    <row r="29" spans="1:3" s="39" customFormat="1" ht="12.15" customHeight="1" thickBot="1" x14ac:dyDescent="0.3">
      <c r="A29" s="207" t="s">
        <v>200</v>
      </c>
      <c r="B29" s="57" t="s">
        <v>461</v>
      </c>
      <c r="C29" s="511"/>
    </row>
    <row r="30" spans="1:3" s="39" customFormat="1" ht="12.15" customHeight="1" thickBot="1" x14ac:dyDescent="0.3">
      <c r="A30" s="74" t="s">
        <v>20</v>
      </c>
      <c r="B30" s="54" t="s">
        <v>337</v>
      </c>
      <c r="C30" s="502">
        <f>+C31+C32+C33</f>
        <v>0</v>
      </c>
    </row>
    <row r="31" spans="1:3" s="39" customFormat="1" ht="12.15" customHeight="1" x14ac:dyDescent="0.25">
      <c r="A31" s="208" t="s">
        <v>78</v>
      </c>
      <c r="B31" s="209" t="s">
        <v>221</v>
      </c>
      <c r="C31" s="510"/>
    </row>
    <row r="32" spans="1:3" s="39" customFormat="1" ht="12.15" customHeight="1" x14ac:dyDescent="0.25">
      <c r="A32" s="208" t="s">
        <v>79</v>
      </c>
      <c r="B32" s="210" t="s">
        <v>222</v>
      </c>
      <c r="C32" s="505"/>
    </row>
    <row r="33" spans="1:3" s="38" customFormat="1" ht="12.15" customHeight="1" thickBot="1" x14ac:dyDescent="0.3">
      <c r="A33" s="207" t="s">
        <v>80</v>
      </c>
      <c r="B33" s="57" t="s">
        <v>223</v>
      </c>
      <c r="C33" s="511"/>
    </row>
    <row r="34" spans="1:3" s="38" customFormat="1" ht="12.15" customHeight="1" thickBot="1" x14ac:dyDescent="0.3">
      <c r="A34" s="74" t="s">
        <v>21</v>
      </c>
      <c r="B34" s="54" t="s">
        <v>309</v>
      </c>
      <c r="C34" s="509"/>
    </row>
    <row r="35" spans="1:3" s="38" customFormat="1" ht="12.15" customHeight="1" thickBot="1" x14ac:dyDescent="0.3">
      <c r="A35" s="74" t="s">
        <v>22</v>
      </c>
      <c r="B35" s="54" t="s">
        <v>338</v>
      </c>
      <c r="C35" s="512"/>
    </row>
    <row r="36" spans="1:3" s="38" customFormat="1" ht="12.15" customHeight="1" thickBot="1" x14ac:dyDescent="0.3">
      <c r="A36" s="71" t="s">
        <v>23</v>
      </c>
      <c r="B36" s="54" t="s">
        <v>339</v>
      </c>
      <c r="C36" s="513">
        <f>+C7+C19+C24+C25+C30+C34+C35</f>
        <v>25134400</v>
      </c>
    </row>
    <row r="37" spans="1:3" s="38" customFormat="1" ht="12.15" customHeight="1" thickBot="1" x14ac:dyDescent="0.3">
      <c r="A37" s="85" t="s">
        <v>24</v>
      </c>
      <c r="B37" s="54" t="s">
        <v>340</v>
      </c>
      <c r="C37" s="513">
        <f>+C38+C39+C40</f>
        <v>229788523</v>
      </c>
    </row>
    <row r="38" spans="1:3" s="38" customFormat="1" ht="12.15" customHeight="1" x14ac:dyDescent="0.25">
      <c r="A38" s="208" t="s">
        <v>341</v>
      </c>
      <c r="B38" s="209" t="s">
        <v>166</v>
      </c>
      <c r="C38" s="510">
        <v>291209</v>
      </c>
    </row>
    <row r="39" spans="1:3" s="39" customFormat="1" ht="12.15" customHeight="1" x14ac:dyDescent="0.25">
      <c r="A39" s="208" t="s">
        <v>342</v>
      </c>
      <c r="B39" s="210" t="s">
        <v>6</v>
      </c>
      <c r="C39" s="505"/>
    </row>
    <row r="40" spans="1:3" s="39" customFormat="1" ht="15" customHeight="1" thickBot="1" x14ac:dyDescent="0.3">
      <c r="A40" s="207" t="s">
        <v>343</v>
      </c>
      <c r="B40" s="57" t="s">
        <v>344</v>
      </c>
      <c r="C40" s="633">
        <v>229497314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14">
        <f>+C36+C37</f>
        <v>254922923</v>
      </c>
    </row>
    <row r="42" spans="1:3" x14ac:dyDescent="0.25">
      <c r="A42" s="87"/>
      <c r="B42" s="88"/>
      <c r="C42" s="515"/>
    </row>
    <row r="43" spans="1:3" s="32" customFormat="1" ht="16.5" customHeight="1" thickBot="1" x14ac:dyDescent="0.3">
      <c r="A43" s="89"/>
      <c r="B43" s="90"/>
      <c r="C43" s="516"/>
    </row>
    <row r="44" spans="1:3" s="213" customFormat="1" ht="12.15" customHeight="1" thickBot="1" x14ac:dyDescent="0.3">
      <c r="A44" s="1335" t="s">
        <v>53</v>
      </c>
      <c r="B44" s="1336"/>
      <c r="C44" s="1337"/>
    </row>
    <row r="45" spans="1:3" ht="12.15" customHeight="1" thickBot="1" x14ac:dyDescent="0.3">
      <c r="A45" s="74" t="s">
        <v>16</v>
      </c>
      <c r="B45" s="54" t="s">
        <v>346</v>
      </c>
      <c r="C45" s="502">
        <f>SUM(C46:C50)</f>
        <v>250669923</v>
      </c>
    </row>
    <row r="46" spans="1:3" ht="12.15" customHeight="1" x14ac:dyDescent="0.25">
      <c r="A46" s="207" t="s">
        <v>85</v>
      </c>
      <c r="B46" s="6" t="s">
        <v>46</v>
      </c>
      <c r="C46" s="251">
        <v>102620682</v>
      </c>
    </row>
    <row r="47" spans="1:3" ht="12.15" customHeight="1" x14ac:dyDescent="0.25">
      <c r="A47" s="207" t="s">
        <v>86</v>
      </c>
      <c r="B47" s="5" t="s">
        <v>134</v>
      </c>
      <c r="C47" s="114">
        <v>14528745</v>
      </c>
    </row>
    <row r="48" spans="1:3" ht="12.15" customHeight="1" x14ac:dyDescent="0.25">
      <c r="A48" s="207" t="s">
        <v>87</v>
      </c>
      <c r="B48" s="5" t="s">
        <v>110</v>
      </c>
      <c r="C48" s="114">
        <v>133519496</v>
      </c>
    </row>
    <row r="49" spans="1:6" ht="12.15" customHeight="1" x14ac:dyDescent="0.25">
      <c r="A49" s="207" t="s">
        <v>88</v>
      </c>
      <c r="B49" s="5" t="s">
        <v>135</v>
      </c>
      <c r="C49" s="36"/>
    </row>
    <row r="50" spans="1:6" ht="12.15" customHeight="1" thickBot="1" x14ac:dyDescent="0.3">
      <c r="A50" s="207" t="s">
        <v>111</v>
      </c>
      <c r="B50" s="5" t="s">
        <v>136</v>
      </c>
      <c r="C50" s="36">
        <v>1000</v>
      </c>
    </row>
    <row r="51" spans="1:6" s="213" customFormat="1" ht="12.15" customHeight="1" thickBot="1" x14ac:dyDescent="0.3">
      <c r="A51" s="74" t="s">
        <v>17</v>
      </c>
      <c r="B51" s="54" t="s">
        <v>347</v>
      </c>
      <c r="C51" s="502">
        <f>SUM(C52:C54)</f>
        <v>4253000</v>
      </c>
    </row>
    <row r="52" spans="1:6" ht="12.15" customHeight="1" x14ac:dyDescent="0.25">
      <c r="A52" s="207" t="s">
        <v>91</v>
      </c>
      <c r="B52" s="6" t="s">
        <v>157</v>
      </c>
      <c r="C52" s="34">
        <v>4253000</v>
      </c>
    </row>
    <row r="53" spans="1:6" ht="12.15" customHeight="1" x14ac:dyDescent="0.25">
      <c r="A53" s="207" t="s">
        <v>92</v>
      </c>
      <c r="B53" s="5" t="s">
        <v>138</v>
      </c>
      <c r="C53" s="806"/>
    </row>
    <row r="54" spans="1:6" ht="12.15" customHeight="1" x14ac:dyDescent="0.25">
      <c r="A54" s="207" t="s">
        <v>93</v>
      </c>
      <c r="B54" s="5" t="s">
        <v>54</v>
      </c>
      <c r="C54" s="504"/>
    </row>
    <row r="55" spans="1:6" ht="15" customHeight="1" thickBot="1" x14ac:dyDescent="0.3">
      <c r="A55" s="207" t="s">
        <v>94</v>
      </c>
      <c r="B55" s="5" t="s">
        <v>462</v>
      </c>
      <c r="C55" s="504"/>
    </row>
    <row r="56" spans="1:6" ht="13.8" thickBot="1" x14ac:dyDescent="0.3">
      <c r="A56" s="74" t="s">
        <v>18</v>
      </c>
      <c r="B56" s="54" t="s">
        <v>12</v>
      </c>
      <c r="C56" s="509"/>
    </row>
    <row r="57" spans="1:6" ht="15" customHeight="1" thickBot="1" x14ac:dyDescent="0.3">
      <c r="A57" s="74" t="s">
        <v>19</v>
      </c>
      <c r="B57" s="93" t="s">
        <v>463</v>
      </c>
      <c r="C57" s="517">
        <f>+C45+C51+C56</f>
        <v>254922923</v>
      </c>
    </row>
    <row r="58" spans="1:6" ht="14.25" customHeight="1" thickBot="1" x14ac:dyDescent="0.3">
      <c r="C58" s="518"/>
    </row>
    <row r="59" spans="1:6" x14ac:dyDescent="0.25">
      <c r="A59" s="1345" t="s">
        <v>456</v>
      </c>
      <c r="B59" s="1346"/>
      <c r="C59" s="818">
        <f>19.75</f>
        <v>19.75</v>
      </c>
      <c r="E59" s="464"/>
      <c r="F59" s="464"/>
    </row>
    <row r="60" spans="1:6" ht="13.65" customHeight="1" thickBot="1" x14ac:dyDescent="0.3">
      <c r="A60" s="1343" t="s">
        <v>815</v>
      </c>
      <c r="B60" s="1344"/>
      <c r="C60" s="559"/>
      <c r="E60" s="609"/>
      <c r="F60" s="609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A2" sqref="A2"/>
    </sheetView>
  </sheetViews>
  <sheetFormatPr defaultColWidth="9.33203125" defaultRowHeight="13.2" x14ac:dyDescent="0.25"/>
  <cols>
    <col min="1" max="1" width="13.77734375" style="94" customWidth="1"/>
    <col min="2" max="2" width="82" style="301" customWidth="1"/>
    <col min="3" max="3" width="28.44140625" style="301" customWidth="1"/>
    <col min="4" max="16384" width="9.33203125" style="301"/>
  </cols>
  <sheetData>
    <row r="1" spans="1:8" ht="12.75" customHeight="1" x14ac:dyDescent="0.25">
      <c r="A1" s="1340" t="str">
        <f>CONCATENATE("26. melléklet"," ",ALAPADATOK!A7," ",ALAPADATOK!B7," ",ALAPADATOK!C7," ",ALAPADATOK!D7," ",ALAPADATOK!E7," ",ALAPADATOK!F7," ",ALAPADATOK!G7," ",ALAPADATOK!H7)</f>
        <v>26. melléklet a …. / 2024. ( .... ) önkormányzati rendelethez</v>
      </c>
      <c r="B1" s="1340"/>
      <c r="C1" s="1340"/>
    </row>
    <row r="2" spans="1:8" s="1" customFormat="1" ht="21.15" customHeight="1" x14ac:dyDescent="0.25">
      <c r="A2" s="75"/>
      <c r="B2" s="76"/>
      <c r="C2" s="211"/>
    </row>
    <row r="3" spans="1:8" s="37" customFormat="1" ht="36.75" customHeight="1" thickBot="1" x14ac:dyDescent="0.3">
      <c r="A3" s="1290" t="s">
        <v>877</v>
      </c>
      <c r="B3" s="1290"/>
      <c r="C3" s="1290"/>
    </row>
    <row r="4" spans="1:8" ht="13.8" thickBot="1" x14ac:dyDescent="0.3">
      <c r="A4" s="172" t="s">
        <v>153</v>
      </c>
      <c r="B4" s="79" t="s">
        <v>50</v>
      </c>
      <c r="C4" s="80" t="s">
        <v>845</v>
      </c>
    </row>
    <row r="5" spans="1:8" s="32" customFormat="1" ht="12.9" customHeight="1" thickBot="1" x14ac:dyDescent="0.3">
      <c r="A5" s="71" t="s">
        <v>382</v>
      </c>
      <c r="B5" s="72" t="s">
        <v>383</v>
      </c>
      <c r="C5" s="73" t="s">
        <v>384</v>
      </c>
    </row>
    <row r="6" spans="1:8" s="32" customFormat="1" ht="15.9" customHeight="1" thickBot="1" x14ac:dyDescent="0.3">
      <c r="A6" s="81"/>
      <c r="B6" s="82" t="s">
        <v>52</v>
      </c>
      <c r="C6" s="83"/>
    </row>
    <row r="7" spans="1:8" s="38" customFormat="1" ht="12.15" customHeight="1" thickBot="1" x14ac:dyDescent="0.3">
      <c r="A7" s="71" t="s">
        <v>16</v>
      </c>
      <c r="B7" s="84" t="s">
        <v>458</v>
      </c>
      <c r="C7" s="124">
        <f>SUM(C8:C18)</f>
        <v>2000000</v>
      </c>
    </row>
    <row r="8" spans="1:8" s="38" customFormat="1" ht="12.15" customHeight="1" x14ac:dyDescent="0.25">
      <c r="A8" s="206" t="s">
        <v>85</v>
      </c>
      <c r="B8" s="7" t="s">
        <v>207</v>
      </c>
      <c r="C8" s="156"/>
      <c r="H8" s="911"/>
    </row>
    <row r="9" spans="1:8" s="38" customFormat="1" ht="12.15" customHeight="1" x14ac:dyDescent="0.25">
      <c r="A9" s="207" t="s">
        <v>86</v>
      </c>
      <c r="B9" s="5" t="s">
        <v>208</v>
      </c>
      <c r="C9" s="214">
        <v>1574803</v>
      </c>
      <c r="H9" s="911"/>
    </row>
    <row r="10" spans="1:8" s="38" customFormat="1" ht="12.15" customHeight="1" x14ac:dyDescent="0.25">
      <c r="A10" s="207" t="s">
        <v>87</v>
      </c>
      <c r="B10" s="5" t="s">
        <v>209</v>
      </c>
      <c r="C10" s="214"/>
    </row>
    <row r="11" spans="1:8" s="38" customFormat="1" ht="12.15" customHeight="1" x14ac:dyDescent="0.25">
      <c r="A11" s="207" t="s">
        <v>88</v>
      </c>
      <c r="B11" s="5" t="s">
        <v>210</v>
      </c>
      <c r="C11" s="214"/>
    </row>
    <row r="12" spans="1:8" s="38" customFormat="1" ht="12.15" customHeight="1" x14ac:dyDescent="0.25">
      <c r="A12" s="207" t="s">
        <v>111</v>
      </c>
      <c r="B12" s="5" t="s">
        <v>211</v>
      </c>
      <c r="C12" s="214"/>
    </row>
    <row r="13" spans="1:8" s="38" customFormat="1" ht="12.15" customHeight="1" x14ac:dyDescent="0.25">
      <c r="A13" s="207" t="s">
        <v>89</v>
      </c>
      <c r="B13" s="5" t="s">
        <v>331</v>
      </c>
      <c r="C13" s="214">
        <v>425197</v>
      </c>
    </row>
    <row r="14" spans="1:8" s="38" customFormat="1" ht="12.15" customHeight="1" x14ac:dyDescent="0.25">
      <c r="A14" s="207" t="s">
        <v>90</v>
      </c>
      <c r="B14" s="4" t="s">
        <v>332</v>
      </c>
      <c r="C14" s="36"/>
    </row>
    <row r="15" spans="1:8" s="38" customFormat="1" ht="12.15" customHeight="1" x14ac:dyDescent="0.25">
      <c r="A15" s="207" t="s">
        <v>100</v>
      </c>
      <c r="B15" s="5" t="s">
        <v>214</v>
      </c>
      <c r="C15" s="125"/>
    </row>
    <row r="16" spans="1:8" s="39" customFormat="1" ht="12.15" customHeight="1" x14ac:dyDescent="0.25">
      <c r="A16" s="207" t="s">
        <v>101</v>
      </c>
      <c r="B16" s="5" t="s">
        <v>215</v>
      </c>
      <c r="C16" s="36"/>
    </row>
    <row r="17" spans="1:3" s="39" customFormat="1" ht="12.15" customHeight="1" x14ac:dyDescent="0.25">
      <c r="A17" s="207" t="s">
        <v>102</v>
      </c>
      <c r="B17" s="5" t="s">
        <v>388</v>
      </c>
      <c r="C17" s="389"/>
    </row>
    <row r="18" spans="1:3" s="39" customFormat="1" ht="12.15" customHeight="1" thickBot="1" x14ac:dyDescent="0.3">
      <c r="A18" s="207" t="s">
        <v>103</v>
      </c>
      <c r="B18" s="4" t="s">
        <v>216</v>
      </c>
      <c r="C18" s="389"/>
    </row>
    <row r="19" spans="1:3" s="38" customFormat="1" ht="12.15" customHeight="1" thickBot="1" x14ac:dyDescent="0.3">
      <c r="A19" s="71" t="s">
        <v>17</v>
      </c>
      <c r="B19" s="84" t="s">
        <v>333</v>
      </c>
      <c r="C19" s="124">
        <f>SUM(C20:C22)</f>
        <v>0</v>
      </c>
    </row>
    <row r="20" spans="1:3" s="39" customFormat="1" ht="12.15" customHeight="1" x14ac:dyDescent="0.25">
      <c r="A20" s="207" t="s">
        <v>91</v>
      </c>
      <c r="B20" s="6" t="s">
        <v>185</v>
      </c>
      <c r="C20" s="122"/>
    </row>
    <row r="21" spans="1:3" s="39" customFormat="1" ht="12.15" customHeight="1" x14ac:dyDescent="0.25">
      <c r="A21" s="207" t="s">
        <v>92</v>
      </c>
      <c r="B21" s="5" t="s">
        <v>334</v>
      </c>
      <c r="C21" s="36"/>
    </row>
    <row r="22" spans="1:3" s="39" customFormat="1" ht="12.15" customHeight="1" x14ac:dyDescent="0.25">
      <c r="A22" s="207" t="s">
        <v>93</v>
      </c>
      <c r="B22" s="5" t="s">
        <v>335</v>
      </c>
      <c r="C22" s="504"/>
    </row>
    <row r="23" spans="1:3" s="39" customFormat="1" ht="12.15" customHeight="1" thickBot="1" x14ac:dyDescent="0.3">
      <c r="A23" s="207" t="s">
        <v>94</v>
      </c>
      <c r="B23" s="5" t="s">
        <v>459</v>
      </c>
      <c r="C23" s="36"/>
    </row>
    <row r="24" spans="1:3" s="39" customFormat="1" ht="12.15" customHeight="1" thickBot="1" x14ac:dyDescent="0.3">
      <c r="A24" s="74" t="s">
        <v>18</v>
      </c>
      <c r="B24" s="54" t="s">
        <v>125</v>
      </c>
      <c r="C24" s="142"/>
    </row>
    <row r="25" spans="1:3" s="39" customFormat="1" ht="12.15" customHeight="1" thickBot="1" x14ac:dyDescent="0.3">
      <c r="A25" s="74" t="s">
        <v>19</v>
      </c>
      <c r="B25" s="54" t="s">
        <v>460</v>
      </c>
      <c r="C25" s="124">
        <f>+C26+C27+C28</f>
        <v>0</v>
      </c>
    </row>
    <row r="26" spans="1:3" s="39" customFormat="1" ht="12.15" customHeight="1" x14ac:dyDescent="0.25">
      <c r="A26" s="208" t="s">
        <v>195</v>
      </c>
      <c r="B26" s="209" t="s">
        <v>190</v>
      </c>
      <c r="C26" s="34"/>
    </row>
    <row r="27" spans="1:3" s="39" customFormat="1" ht="12.15" customHeight="1" x14ac:dyDescent="0.25">
      <c r="A27" s="208" t="s">
        <v>198</v>
      </c>
      <c r="B27" s="209" t="s">
        <v>334</v>
      </c>
      <c r="C27" s="122"/>
    </row>
    <row r="28" spans="1:3" s="39" customFormat="1" ht="12.15" customHeight="1" x14ac:dyDescent="0.25">
      <c r="A28" s="208" t="s">
        <v>199</v>
      </c>
      <c r="B28" s="210" t="s">
        <v>336</v>
      </c>
      <c r="C28" s="122"/>
    </row>
    <row r="29" spans="1:3" s="39" customFormat="1" ht="12.15" customHeight="1" thickBot="1" x14ac:dyDescent="0.3">
      <c r="A29" s="207" t="s">
        <v>200</v>
      </c>
      <c r="B29" s="57" t="s">
        <v>461</v>
      </c>
      <c r="C29" s="633"/>
    </row>
    <row r="30" spans="1:3" s="39" customFormat="1" ht="12.15" customHeight="1" thickBot="1" x14ac:dyDescent="0.3">
      <c r="A30" s="74" t="s">
        <v>20</v>
      </c>
      <c r="B30" s="54" t="s">
        <v>337</v>
      </c>
      <c r="C30" s="124">
        <f>+C31+C32+C33</f>
        <v>0</v>
      </c>
    </row>
    <row r="31" spans="1:3" s="39" customFormat="1" ht="12.15" customHeight="1" x14ac:dyDescent="0.25">
      <c r="A31" s="208" t="s">
        <v>78</v>
      </c>
      <c r="B31" s="209" t="s">
        <v>221</v>
      </c>
      <c r="C31" s="34"/>
    </row>
    <row r="32" spans="1:3" s="39" customFormat="1" ht="12.15" customHeight="1" x14ac:dyDescent="0.25">
      <c r="A32" s="208" t="s">
        <v>79</v>
      </c>
      <c r="B32" s="210" t="s">
        <v>222</v>
      </c>
      <c r="C32" s="125"/>
    </row>
    <row r="33" spans="1:3" s="38" customFormat="1" ht="12.15" customHeight="1" thickBot="1" x14ac:dyDescent="0.3">
      <c r="A33" s="207" t="s">
        <v>80</v>
      </c>
      <c r="B33" s="57" t="s">
        <v>223</v>
      </c>
      <c r="C33" s="633"/>
    </row>
    <row r="34" spans="1:3" s="38" customFormat="1" ht="12.15" customHeight="1" thickBot="1" x14ac:dyDescent="0.3">
      <c r="A34" s="74" t="s">
        <v>21</v>
      </c>
      <c r="B34" s="54" t="s">
        <v>309</v>
      </c>
      <c r="C34" s="142"/>
    </row>
    <row r="35" spans="1:3" s="38" customFormat="1" ht="12.15" customHeight="1" thickBot="1" x14ac:dyDescent="0.3">
      <c r="A35" s="74" t="s">
        <v>22</v>
      </c>
      <c r="B35" s="54" t="s">
        <v>338</v>
      </c>
      <c r="C35" s="158"/>
    </row>
    <row r="36" spans="1:3" s="38" customFormat="1" ht="12.15" customHeight="1" thickBot="1" x14ac:dyDescent="0.3">
      <c r="A36" s="71" t="s">
        <v>23</v>
      </c>
      <c r="B36" s="54" t="s">
        <v>339</v>
      </c>
      <c r="C36" s="634">
        <f>+C7+C19+C24+C25+C30+C34+C35</f>
        <v>2000000</v>
      </c>
    </row>
    <row r="37" spans="1:3" s="38" customFormat="1" ht="12.15" customHeight="1" thickBot="1" x14ac:dyDescent="0.3">
      <c r="A37" s="85" t="s">
        <v>24</v>
      </c>
      <c r="B37" s="54" t="s">
        <v>340</v>
      </c>
      <c r="C37" s="634">
        <f>+C38+C39+C40</f>
        <v>0</v>
      </c>
    </row>
    <row r="38" spans="1:3" s="38" customFormat="1" ht="12.15" customHeight="1" x14ac:dyDescent="0.25">
      <c r="A38" s="208" t="s">
        <v>341</v>
      </c>
      <c r="B38" s="209" t="s">
        <v>166</v>
      </c>
      <c r="C38" s="34"/>
    </row>
    <row r="39" spans="1:3" s="39" customFormat="1" ht="12.15" customHeight="1" x14ac:dyDescent="0.25">
      <c r="A39" s="208" t="s">
        <v>342</v>
      </c>
      <c r="B39" s="210" t="s">
        <v>6</v>
      </c>
      <c r="C39" s="125"/>
    </row>
    <row r="40" spans="1:3" s="39" customFormat="1" ht="15" customHeight="1" thickBot="1" x14ac:dyDescent="0.3">
      <c r="A40" s="207" t="s">
        <v>343</v>
      </c>
      <c r="B40" s="57" t="s">
        <v>344</v>
      </c>
      <c r="C40" s="799"/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2000000</v>
      </c>
    </row>
    <row r="42" spans="1:3" x14ac:dyDescent="0.25">
      <c r="A42" s="87"/>
      <c r="B42" s="88"/>
      <c r="C42" s="159"/>
    </row>
    <row r="43" spans="1:3" s="32" customFormat="1" ht="16.5" customHeight="1" thickBot="1" x14ac:dyDescent="0.3">
      <c r="A43" s="89"/>
      <c r="B43" s="90"/>
      <c r="C43" s="160"/>
    </row>
    <row r="44" spans="1:3" s="213" customFormat="1" ht="12.15" customHeight="1" thickBot="1" x14ac:dyDescent="0.3">
      <c r="A44" s="91"/>
      <c r="B44" s="92" t="s">
        <v>53</v>
      </c>
      <c r="C44" s="161"/>
    </row>
    <row r="45" spans="1:3" ht="12.15" customHeight="1" thickBot="1" x14ac:dyDescent="0.3">
      <c r="A45" s="74" t="s">
        <v>16</v>
      </c>
      <c r="B45" s="54" t="s">
        <v>346</v>
      </c>
      <c r="C45" s="124">
        <f>SUM(C46:C50)</f>
        <v>2000000</v>
      </c>
    </row>
    <row r="46" spans="1:3" ht="12.15" customHeight="1" x14ac:dyDescent="0.25">
      <c r="A46" s="207" t="s">
        <v>85</v>
      </c>
      <c r="B46" s="6" t="s">
        <v>46</v>
      </c>
      <c r="C46" s="510"/>
    </row>
    <row r="47" spans="1:3" ht="12.15" customHeight="1" x14ac:dyDescent="0.25">
      <c r="A47" s="207" t="s">
        <v>86</v>
      </c>
      <c r="B47" s="5" t="s">
        <v>134</v>
      </c>
      <c r="C47" s="504"/>
    </row>
    <row r="48" spans="1:3" ht="12.15" customHeight="1" x14ac:dyDescent="0.25">
      <c r="A48" s="207" t="s">
        <v>87</v>
      </c>
      <c r="B48" s="5" t="s">
        <v>110</v>
      </c>
      <c r="C48" s="36">
        <v>2000000</v>
      </c>
    </row>
    <row r="49" spans="1:3" ht="12.15" customHeight="1" x14ac:dyDescent="0.25">
      <c r="A49" s="207" t="s">
        <v>88</v>
      </c>
      <c r="B49" s="5" t="s">
        <v>135</v>
      </c>
      <c r="C49" s="504"/>
    </row>
    <row r="50" spans="1:3" ht="12.15" customHeight="1" thickBot="1" x14ac:dyDescent="0.3">
      <c r="A50" s="207" t="s">
        <v>111</v>
      </c>
      <c r="B50" s="5" t="s">
        <v>136</v>
      </c>
      <c r="C50" s="36"/>
    </row>
    <row r="51" spans="1:3" s="213" customFormat="1" ht="12.15" customHeight="1" thickBot="1" x14ac:dyDescent="0.3">
      <c r="A51" s="74" t="s">
        <v>17</v>
      </c>
      <c r="B51" s="54" t="s">
        <v>347</v>
      </c>
      <c r="C51" s="124">
        <f>SUM(C52:C54)</f>
        <v>0</v>
      </c>
    </row>
    <row r="52" spans="1:3" ht="12.15" customHeight="1" x14ac:dyDescent="0.25">
      <c r="A52" s="207" t="s">
        <v>91</v>
      </c>
      <c r="B52" s="6" t="s">
        <v>157</v>
      </c>
      <c r="C52" s="635"/>
    </row>
    <row r="53" spans="1:3" ht="12.15" customHeight="1" x14ac:dyDescent="0.25">
      <c r="A53" s="207" t="s">
        <v>92</v>
      </c>
      <c r="B53" s="5" t="s">
        <v>138</v>
      </c>
      <c r="C53" s="636"/>
    </row>
    <row r="54" spans="1:3" ht="12.15" customHeight="1" x14ac:dyDescent="0.25">
      <c r="A54" s="207" t="s">
        <v>93</v>
      </c>
      <c r="B54" s="5" t="s">
        <v>54</v>
      </c>
      <c r="C54" s="36"/>
    </row>
    <row r="55" spans="1:3" ht="15" customHeight="1" thickBot="1" x14ac:dyDescent="0.3">
      <c r="A55" s="207" t="s">
        <v>94</v>
      </c>
      <c r="B55" s="5" t="s">
        <v>462</v>
      </c>
      <c r="C55" s="36"/>
    </row>
    <row r="56" spans="1:3" ht="13.8" thickBot="1" x14ac:dyDescent="0.3">
      <c r="A56" s="74" t="s">
        <v>18</v>
      </c>
      <c r="B56" s="54" t="s">
        <v>12</v>
      </c>
      <c r="C56" s="142"/>
    </row>
    <row r="57" spans="1:3" ht="15" customHeight="1" thickBot="1" x14ac:dyDescent="0.3">
      <c r="A57" s="74" t="s">
        <v>19</v>
      </c>
      <c r="B57" s="93" t="s">
        <v>463</v>
      </c>
      <c r="C57" s="162">
        <f>+C45+C51+C56</f>
        <v>2000000</v>
      </c>
    </row>
    <row r="58" spans="1:3" ht="14.25" customHeight="1" thickBot="1" x14ac:dyDescent="0.3">
      <c r="C58" s="163"/>
    </row>
    <row r="59" spans="1:3" ht="13.8" thickBot="1" x14ac:dyDescent="0.3">
      <c r="A59" s="95" t="s">
        <v>456</v>
      </c>
      <c r="B59" s="96"/>
      <c r="C59" s="391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15" zoomScaleNormal="115" workbookViewId="0">
      <selection activeCell="A2" sqref="A2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4" width="9.33203125" style="301" customWidth="1"/>
    <col min="5" max="5" width="11.77734375" style="609" hidden="1" customWidth="1"/>
    <col min="6" max="6" width="12.44140625" style="609" hidden="1" customWidth="1"/>
    <col min="7" max="8" width="9.33203125" style="301" customWidth="1"/>
    <col min="9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6" ht="12.75" customHeight="1" x14ac:dyDescent="0.25">
      <c r="A1" s="1340" t="str">
        <f>CONCATENATE("17. melléklet"," ",ALAPADATOK!A7," ",ALAPADATOK!B7," ",ALAPADATOK!C7," ",ALAPADATOK!D7," ",ALAPADATOK!E7," ",ALAPADATOK!F7," ",ALAPADATOK!G7," ",ALAPADATOK!H7)</f>
        <v>17. melléklet a …. / 2024. ( .... ) önkormányzati rendelethez</v>
      </c>
      <c r="B1" s="1340"/>
      <c r="C1" s="1340"/>
    </row>
    <row r="2" spans="1:6" s="1" customFormat="1" ht="21.15" customHeight="1" x14ac:dyDescent="0.25">
      <c r="A2" s="75"/>
      <c r="B2" s="76"/>
      <c r="C2" s="307"/>
      <c r="E2" s="609"/>
      <c r="F2" s="609"/>
    </row>
    <row r="3" spans="1:6" s="37" customFormat="1" ht="33" customHeight="1" thickBot="1" x14ac:dyDescent="0.3">
      <c r="A3" s="1290" t="s">
        <v>853</v>
      </c>
      <c r="B3" s="1290"/>
      <c r="C3" s="1290"/>
      <c r="E3" s="462"/>
      <c r="F3" s="462"/>
    </row>
    <row r="4" spans="1:6" ht="13.8" thickBot="1" x14ac:dyDescent="0.3">
      <c r="A4" s="172" t="s">
        <v>153</v>
      </c>
      <c r="B4" s="79" t="s">
        <v>50</v>
      </c>
      <c r="C4" s="311" t="s">
        <v>845</v>
      </c>
    </row>
    <row r="5" spans="1:6" s="32" customFormat="1" ht="12.9" customHeight="1" thickBot="1" x14ac:dyDescent="0.3">
      <c r="A5" s="71" t="s">
        <v>382</v>
      </c>
      <c r="B5" s="72" t="s">
        <v>383</v>
      </c>
      <c r="C5" s="312" t="s">
        <v>384</v>
      </c>
      <c r="E5" s="463"/>
      <c r="F5" s="463"/>
    </row>
    <row r="6" spans="1:6" s="32" customFormat="1" ht="15.9" customHeight="1" thickBot="1" x14ac:dyDescent="0.3">
      <c r="A6" s="81"/>
      <c r="B6" s="82" t="s">
        <v>52</v>
      </c>
      <c r="C6" s="313"/>
      <c r="E6" s="463"/>
      <c r="F6" s="463"/>
    </row>
    <row r="7" spans="1:6" s="38" customFormat="1" ht="12.15" customHeight="1" thickBot="1" x14ac:dyDescent="0.3">
      <c r="A7" s="71" t="s">
        <v>16</v>
      </c>
      <c r="B7" s="84" t="s">
        <v>458</v>
      </c>
      <c r="C7" s="502">
        <f>SUM(C8:C18)</f>
        <v>291229361</v>
      </c>
      <c r="E7" s="464">
        <f>'28. sz. mell Kornisné Kp. '!C7+'29. sz. mell Kornisné Kp.'!C7+'30. sz. mell Kornisné Kp '!C9</f>
        <v>291229361</v>
      </c>
      <c r="F7" s="464">
        <f>C7-E7</f>
        <v>0</v>
      </c>
    </row>
    <row r="8" spans="1:6" s="38" customFormat="1" ht="12.15" customHeight="1" x14ac:dyDescent="0.25">
      <c r="A8" s="206" t="s">
        <v>85</v>
      </c>
      <c r="B8" s="7" t="s">
        <v>207</v>
      </c>
      <c r="C8" s="503"/>
      <c r="E8" s="464">
        <f>'28. sz. mell Kornisné Kp. '!C8+'29. sz. mell Kornisné Kp.'!C8+'30. sz. mell Kornisné Kp '!C10</f>
        <v>0</v>
      </c>
      <c r="F8" s="464">
        <f t="shared" ref="F8:F58" si="0">C8-E8</f>
        <v>0</v>
      </c>
    </row>
    <row r="9" spans="1:6" s="38" customFormat="1" ht="12.15" customHeight="1" x14ac:dyDescent="0.25">
      <c r="A9" s="207" t="s">
        <v>86</v>
      </c>
      <c r="B9" s="5" t="s">
        <v>208</v>
      </c>
      <c r="C9" s="504">
        <v>13254803</v>
      </c>
      <c r="E9" s="464">
        <f>'28. sz. mell Kornisné Kp. '!C9+'29. sz. mell Kornisné Kp.'!C9+'30. sz. mell Kornisné Kp '!C11</f>
        <v>13254803</v>
      </c>
      <c r="F9" s="464">
        <f t="shared" si="0"/>
        <v>0</v>
      </c>
    </row>
    <row r="10" spans="1:6" s="38" customFormat="1" ht="12.15" customHeight="1" x14ac:dyDescent="0.25">
      <c r="A10" s="207" t="s">
        <v>87</v>
      </c>
      <c r="B10" s="5" t="s">
        <v>209</v>
      </c>
      <c r="C10" s="504">
        <v>16480000</v>
      </c>
      <c r="E10" s="464">
        <f>'28. sz. mell Kornisné Kp. '!C10+'29. sz. mell Kornisné Kp.'!C10+'30. sz. mell Kornisné Kp '!C12</f>
        <v>16480000</v>
      </c>
      <c r="F10" s="464">
        <f t="shared" si="0"/>
        <v>0</v>
      </c>
    </row>
    <row r="11" spans="1:6" s="38" customFormat="1" ht="12.15" customHeight="1" x14ac:dyDescent="0.25">
      <c r="A11" s="207" t="s">
        <v>88</v>
      </c>
      <c r="B11" s="5" t="s">
        <v>210</v>
      </c>
      <c r="C11" s="504"/>
      <c r="E11" s="464">
        <f>'28. sz. mell Kornisné Kp. '!C11+'29. sz. mell Kornisné Kp.'!C11+'30. sz. mell Kornisné Kp '!C13</f>
        <v>0</v>
      </c>
      <c r="F11" s="464">
        <f t="shared" si="0"/>
        <v>0</v>
      </c>
    </row>
    <row r="12" spans="1:6" s="38" customFormat="1" ht="12.15" customHeight="1" x14ac:dyDescent="0.25">
      <c r="A12" s="207" t="s">
        <v>111</v>
      </c>
      <c r="B12" s="5" t="s">
        <v>211</v>
      </c>
      <c r="C12" s="504">
        <v>256415480</v>
      </c>
      <c r="E12" s="464">
        <f>'28. sz. mell Kornisné Kp. '!C12+'29. sz. mell Kornisné Kp.'!C12+'30. sz. mell Kornisné Kp '!C14</f>
        <v>256415480</v>
      </c>
      <c r="F12" s="464">
        <f t="shared" si="0"/>
        <v>0</v>
      </c>
    </row>
    <row r="13" spans="1:6" s="38" customFormat="1" ht="12.15" customHeight="1" x14ac:dyDescent="0.25">
      <c r="A13" s="207" t="s">
        <v>89</v>
      </c>
      <c r="B13" s="5" t="s">
        <v>331</v>
      </c>
      <c r="C13" s="504">
        <v>5079078</v>
      </c>
      <c r="E13" s="464">
        <f>'28. sz. mell Kornisné Kp. '!C13+'29. sz. mell Kornisné Kp.'!C13+'30. sz. mell Kornisné Kp '!C15</f>
        <v>5079078</v>
      </c>
      <c r="F13" s="464">
        <f t="shared" si="0"/>
        <v>0</v>
      </c>
    </row>
    <row r="14" spans="1:6" s="38" customFormat="1" ht="12.15" customHeight="1" x14ac:dyDescent="0.25">
      <c r="A14" s="207" t="s">
        <v>90</v>
      </c>
      <c r="B14" s="4" t="s">
        <v>332</v>
      </c>
      <c r="C14" s="504"/>
      <c r="E14" s="464">
        <f>'28. sz. mell Kornisné Kp. '!C14+'29. sz. mell Kornisné Kp.'!C14+'30. sz. mell Kornisné Kp '!C16</f>
        <v>0</v>
      </c>
      <c r="F14" s="464">
        <f t="shared" si="0"/>
        <v>0</v>
      </c>
    </row>
    <row r="15" spans="1:6" s="38" customFormat="1" ht="12.15" customHeight="1" x14ac:dyDescent="0.25">
      <c r="A15" s="207" t="s">
        <v>100</v>
      </c>
      <c r="B15" s="5" t="s">
        <v>214</v>
      </c>
      <c r="C15" s="505"/>
      <c r="E15" s="464">
        <f>'28. sz. mell Kornisné Kp. '!C15+'29. sz. mell Kornisné Kp.'!C15+'30. sz. mell Kornisné Kp '!C17</f>
        <v>0</v>
      </c>
      <c r="F15" s="464">
        <f t="shared" si="0"/>
        <v>0</v>
      </c>
    </row>
    <row r="16" spans="1:6" s="39" customFormat="1" ht="12.15" customHeight="1" x14ac:dyDescent="0.25">
      <c r="A16" s="207" t="s">
        <v>101</v>
      </c>
      <c r="B16" s="5" t="s">
        <v>215</v>
      </c>
      <c r="C16" s="504"/>
      <c r="E16" s="464">
        <f>'28. sz. mell Kornisné Kp. '!C16+'29. sz. mell Kornisné Kp.'!C16+'30. sz. mell Kornisné Kp '!C18</f>
        <v>0</v>
      </c>
      <c r="F16" s="464">
        <f t="shared" si="0"/>
        <v>0</v>
      </c>
    </row>
    <row r="17" spans="1:6" s="39" customFormat="1" ht="12.15" customHeight="1" x14ac:dyDescent="0.25">
      <c r="A17" s="207" t="s">
        <v>102</v>
      </c>
      <c r="B17" s="5" t="s">
        <v>388</v>
      </c>
      <c r="C17" s="506"/>
      <c r="E17" s="464">
        <f>'28. sz. mell Kornisné Kp. '!C17+'29. sz. mell Kornisné Kp.'!C17+'30. sz. mell Kornisné Kp '!C19</f>
        <v>0</v>
      </c>
      <c r="F17" s="464">
        <f t="shared" si="0"/>
        <v>0</v>
      </c>
    </row>
    <row r="18" spans="1:6" s="39" customFormat="1" ht="12.15" customHeight="1" thickBot="1" x14ac:dyDescent="0.3">
      <c r="A18" s="207" t="s">
        <v>103</v>
      </c>
      <c r="B18" s="4" t="s">
        <v>216</v>
      </c>
      <c r="C18" s="506"/>
      <c r="E18" s="464">
        <f>'28. sz. mell Kornisné Kp. '!C18+'29. sz. mell Kornisné Kp.'!C18+'30. sz. mell Kornisné Kp '!C20</f>
        <v>0</v>
      </c>
      <c r="F18" s="464">
        <f t="shared" si="0"/>
        <v>0</v>
      </c>
    </row>
    <row r="19" spans="1:6" s="38" customFormat="1" ht="12.15" customHeight="1" thickBot="1" x14ac:dyDescent="0.3">
      <c r="A19" s="71" t="s">
        <v>17</v>
      </c>
      <c r="B19" s="84" t="s">
        <v>333</v>
      </c>
      <c r="C19" s="124">
        <f>SUM(C20:C22)</f>
        <v>238149000</v>
      </c>
      <c r="E19" s="464">
        <f>'28. sz. mell Kornisné Kp. '!C19+'29. sz. mell Kornisné Kp.'!C19+'30. sz. mell Kornisné Kp '!C21</f>
        <v>238149000</v>
      </c>
      <c r="F19" s="464">
        <f t="shared" si="0"/>
        <v>0</v>
      </c>
    </row>
    <row r="20" spans="1:6" s="39" customFormat="1" ht="12.15" customHeight="1" x14ac:dyDescent="0.25">
      <c r="A20" s="207" t="s">
        <v>91</v>
      </c>
      <c r="B20" s="6" t="s">
        <v>185</v>
      </c>
      <c r="C20" s="504"/>
      <c r="E20" s="464">
        <f>'28. sz. mell Kornisné Kp. '!C20+'29. sz. mell Kornisné Kp.'!C20+'30. sz. mell Kornisné Kp '!C22</f>
        <v>0</v>
      </c>
      <c r="F20" s="464">
        <f t="shared" si="0"/>
        <v>0</v>
      </c>
    </row>
    <row r="21" spans="1:6" s="39" customFormat="1" ht="12.15" customHeight="1" x14ac:dyDescent="0.25">
      <c r="A21" s="207" t="s">
        <v>92</v>
      </c>
      <c r="B21" s="5" t="s">
        <v>334</v>
      </c>
      <c r="C21" s="504"/>
      <c r="E21" s="464">
        <f>'28. sz. mell Kornisné Kp. '!C21+'29. sz. mell Kornisné Kp.'!C21+'30. sz. mell Kornisné Kp '!C23</f>
        <v>0</v>
      </c>
      <c r="F21" s="464">
        <f t="shared" si="0"/>
        <v>0</v>
      </c>
    </row>
    <row r="22" spans="1:6" s="39" customFormat="1" ht="12.15" customHeight="1" x14ac:dyDescent="0.25">
      <c r="A22" s="207" t="s">
        <v>93</v>
      </c>
      <c r="B22" s="5" t="s">
        <v>335</v>
      </c>
      <c r="C22" s="36">
        <v>238149000</v>
      </c>
      <c r="E22" s="464">
        <f>'28. sz. mell Kornisné Kp. '!C22+'29. sz. mell Kornisné Kp.'!C22+'30. sz. mell Kornisné Kp '!C24</f>
        <v>238149000</v>
      </c>
      <c r="F22" s="464">
        <f t="shared" si="0"/>
        <v>0</v>
      </c>
    </row>
    <row r="23" spans="1:6" s="39" customFormat="1" ht="12.15" customHeight="1" thickBot="1" x14ac:dyDescent="0.3">
      <c r="A23" s="207" t="s">
        <v>94</v>
      </c>
      <c r="B23" s="5" t="s">
        <v>459</v>
      </c>
      <c r="C23" s="504"/>
      <c r="E23" s="464">
        <f>'28. sz. mell Kornisné Kp. '!C23+'29. sz. mell Kornisné Kp.'!C23+'30. sz. mell Kornisné Kp '!C25</f>
        <v>0</v>
      </c>
      <c r="F23" s="464">
        <f t="shared" si="0"/>
        <v>0</v>
      </c>
    </row>
    <row r="24" spans="1:6" s="39" customFormat="1" ht="12.15" customHeight="1" thickBot="1" x14ac:dyDescent="0.3">
      <c r="A24" s="74" t="s">
        <v>18</v>
      </c>
      <c r="B24" s="54" t="s">
        <v>125</v>
      </c>
      <c r="C24" s="509"/>
      <c r="E24" s="464">
        <f>'28. sz. mell Kornisné Kp. '!C24+'29. sz. mell Kornisné Kp.'!C24+'30. sz. mell Kornisné Kp '!C26</f>
        <v>0</v>
      </c>
      <c r="F24" s="464">
        <f t="shared" si="0"/>
        <v>0</v>
      </c>
    </row>
    <row r="25" spans="1:6" s="39" customFormat="1" ht="12.15" customHeight="1" thickBot="1" x14ac:dyDescent="0.3">
      <c r="A25" s="74" t="s">
        <v>19</v>
      </c>
      <c r="B25" s="54" t="s">
        <v>460</v>
      </c>
      <c r="C25" s="502">
        <f>+C26+C27+C28</f>
        <v>0</v>
      </c>
      <c r="E25" s="464">
        <f>'28. sz. mell Kornisné Kp. '!C25+'29. sz. mell Kornisné Kp.'!C25+'30. sz. mell Kornisné Kp '!C27</f>
        <v>0</v>
      </c>
      <c r="F25" s="464">
        <f t="shared" si="0"/>
        <v>0</v>
      </c>
    </row>
    <row r="26" spans="1:6" s="39" customFormat="1" ht="12.15" customHeight="1" x14ac:dyDescent="0.25">
      <c r="A26" s="208" t="s">
        <v>195</v>
      </c>
      <c r="B26" s="209" t="s">
        <v>190</v>
      </c>
      <c r="C26" s="510"/>
      <c r="E26" s="464">
        <f>'28. sz. mell Kornisné Kp. '!C26+'29. sz. mell Kornisné Kp.'!C26+'30. sz. mell Kornisné Kp '!C28</f>
        <v>0</v>
      </c>
      <c r="F26" s="464">
        <f t="shared" si="0"/>
        <v>0</v>
      </c>
    </row>
    <row r="27" spans="1:6" s="39" customFormat="1" ht="12.15" customHeight="1" x14ac:dyDescent="0.25">
      <c r="A27" s="208" t="s">
        <v>198</v>
      </c>
      <c r="B27" s="209" t="s">
        <v>334</v>
      </c>
      <c r="C27" s="507"/>
      <c r="E27" s="464">
        <f>'28. sz. mell Kornisné Kp. '!C27+'29. sz. mell Kornisné Kp.'!C27+'30. sz. mell Kornisné Kp '!C29</f>
        <v>0</v>
      </c>
      <c r="F27" s="464">
        <f t="shared" si="0"/>
        <v>0</v>
      </c>
    </row>
    <row r="28" spans="1:6" s="39" customFormat="1" ht="12.15" customHeight="1" x14ac:dyDescent="0.25">
      <c r="A28" s="208" t="s">
        <v>199</v>
      </c>
      <c r="B28" s="210" t="s">
        <v>336</v>
      </c>
      <c r="C28" s="504"/>
      <c r="E28" s="464">
        <f>'28. sz. mell Kornisné Kp. '!C28+'29. sz. mell Kornisné Kp.'!C28+'30. sz. mell Kornisné Kp '!C30</f>
        <v>0</v>
      </c>
      <c r="F28" s="464">
        <f t="shared" si="0"/>
        <v>0</v>
      </c>
    </row>
    <row r="29" spans="1:6" s="39" customFormat="1" ht="12.15" customHeight="1" thickBot="1" x14ac:dyDescent="0.3">
      <c r="A29" s="207" t="s">
        <v>200</v>
      </c>
      <c r="B29" s="57" t="s">
        <v>461</v>
      </c>
      <c r="C29" s="511"/>
      <c r="E29" s="464">
        <f>'28. sz. mell Kornisné Kp. '!C29+'29. sz. mell Kornisné Kp.'!C29+'30. sz. mell Kornisné Kp '!C31</f>
        <v>0</v>
      </c>
      <c r="F29" s="464">
        <f t="shared" si="0"/>
        <v>0</v>
      </c>
    </row>
    <row r="30" spans="1:6" s="39" customFormat="1" ht="12.15" customHeight="1" thickBot="1" x14ac:dyDescent="0.3">
      <c r="A30" s="74" t="s">
        <v>20</v>
      </c>
      <c r="B30" s="54" t="s">
        <v>337</v>
      </c>
      <c r="C30" s="502">
        <f>+C31+C32+C33</f>
        <v>0</v>
      </c>
      <c r="E30" s="464">
        <f>'28. sz. mell Kornisné Kp. '!C30+'29. sz. mell Kornisné Kp.'!C30+'30. sz. mell Kornisné Kp '!C32</f>
        <v>0</v>
      </c>
      <c r="F30" s="464">
        <f t="shared" si="0"/>
        <v>0</v>
      </c>
    </row>
    <row r="31" spans="1:6" s="39" customFormat="1" ht="12.15" customHeight="1" x14ac:dyDescent="0.25">
      <c r="A31" s="208" t="s">
        <v>78</v>
      </c>
      <c r="B31" s="209" t="s">
        <v>221</v>
      </c>
      <c r="C31" s="510"/>
      <c r="E31" s="464">
        <f>'28. sz. mell Kornisné Kp. '!C31+'29. sz. mell Kornisné Kp.'!C31+'30. sz. mell Kornisné Kp '!C33</f>
        <v>0</v>
      </c>
      <c r="F31" s="464">
        <f t="shared" si="0"/>
        <v>0</v>
      </c>
    </row>
    <row r="32" spans="1:6" s="39" customFormat="1" ht="12.15" customHeight="1" x14ac:dyDescent="0.25">
      <c r="A32" s="208" t="s">
        <v>79</v>
      </c>
      <c r="B32" s="210" t="s">
        <v>222</v>
      </c>
      <c r="C32" s="505"/>
      <c r="E32" s="464">
        <f>'28. sz. mell Kornisné Kp. '!C32+'29. sz. mell Kornisné Kp.'!C32+'30. sz. mell Kornisné Kp '!C34</f>
        <v>0</v>
      </c>
      <c r="F32" s="464">
        <f t="shared" si="0"/>
        <v>0</v>
      </c>
    </row>
    <row r="33" spans="1:6" s="38" customFormat="1" ht="12.15" customHeight="1" thickBot="1" x14ac:dyDescent="0.3">
      <c r="A33" s="207" t="s">
        <v>80</v>
      </c>
      <c r="B33" s="57" t="s">
        <v>223</v>
      </c>
      <c r="C33" s="511"/>
      <c r="E33" s="464">
        <f>'28. sz. mell Kornisné Kp. '!C33+'29. sz. mell Kornisné Kp.'!C33+'30. sz. mell Kornisné Kp '!C35</f>
        <v>0</v>
      </c>
      <c r="F33" s="464">
        <f t="shared" si="0"/>
        <v>0</v>
      </c>
    </row>
    <row r="34" spans="1:6" s="38" customFormat="1" ht="12.15" customHeight="1" thickBot="1" x14ac:dyDescent="0.3">
      <c r="A34" s="74" t="s">
        <v>21</v>
      </c>
      <c r="B34" s="54" t="s">
        <v>309</v>
      </c>
      <c r="C34" s="509"/>
      <c r="E34" s="464">
        <f>'28. sz. mell Kornisné Kp. '!C34+'29. sz. mell Kornisné Kp.'!C34+'30. sz. mell Kornisné Kp '!C36</f>
        <v>0</v>
      </c>
      <c r="F34" s="464">
        <f t="shared" si="0"/>
        <v>0</v>
      </c>
    </row>
    <row r="35" spans="1:6" s="38" customFormat="1" ht="12.15" customHeight="1" thickBot="1" x14ac:dyDescent="0.3">
      <c r="A35" s="74" t="s">
        <v>22</v>
      </c>
      <c r="B35" s="54" t="s">
        <v>338</v>
      </c>
      <c r="C35" s="701"/>
      <c r="E35" s="464">
        <f>'28. sz. mell Kornisné Kp. '!C35+'29. sz. mell Kornisné Kp.'!C35+'30. sz. mell Kornisné Kp '!C37</f>
        <v>0</v>
      </c>
      <c r="F35" s="464">
        <f t="shared" si="0"/>
        <v>0</v>
      </c>
    </row>
    <row r="36" spans="1:6" s="38" customFormat="1" ht="12.15" customHeight="1" thickBot="1" x14ac:dyDescent="0.3">
      <c r="A36" s="71" t="s">
        <v>23</v>
      </c>
      <c r="B36" s="54" t="s">
        <v>339</v>
      </c>
      <c r="C36" s="513">
        <f>+C7+C19+C24+C25+C30+C34+C35</f>
        <v>529378361</v>
      </c>
      <c r="E36" s="464">
        <f>'28. sz. mell Kornisné Kp. '!C36+'29. sz. mell Kornisné Kp.'!C36+'30. sz. mell Kornisné Kp '!C38</f>
        <v>529378361</v>
      </c>
      <c r="F36" s="464">
        <f t="shared" si="0"/>
        <v>0</v>
      </c>
    </row>
    <row r="37" spans="1:6" s="38" customFormat="1" ht="12.15" customHeight="1" thickBot="1" x14ac:dyDescent="0.3">
      <c r="A37" s="85" t="s">
        <v>24</v>
      </c>
      <c r="B37" s="54" t="s">
        <v>340</v>
      </c>
      <c r="C37" s="513">
        <f>SUM(C38:C40)</f>
        <v>1104732061</v>
      </c>
      <c r="E37" s="464">
        <f>'28. sz. mell Kornisné Kp. '!C37+'29. sz. mell Kornisné Kp.'!C37+'30. sz. mell Kornisné Kp '!C39</f>
        <v>1104732061</v>
      </c>
      <c r="F37" s="464">
        <f t="shared" si="0"/>
        <v>0</v>
      </c>
    </row>
    <row r="38" spans="1:6" s="38" customFormat="1" ht="12.15" customHeight="1" x14ac:dyDescent="0.25">
      <c r="A38" s="208" t="s">
        <v>341</v>
      </c>
      <c r="B38" s="209" t="s">
        <v>166</v>
      </c>
      <c r="C38" s="510">
        <v>89366856</v>
      </c>
      <c r="E38" s="464">
        <f>'28. sz. mell Kornisné Kp. '!C38+'29. sz. mell Kornisné Kp.'!C38+'30. sz. mell Kornisné Kp '!C40</f>
        <v>89366856</v>
      </c>
      <c r="F38" s="464">
        <f t="shared" si="0"/>
        <v>0</v>
      </c>
    </row>
    <row r="39" spans="1:6" s="39" customFormat="1" ht="12.15" customHeight="1" x14ac:dyDescent="0.25">
      <c r="A39" s="208" t="s">
        <v>342</v>
      </c>
      <c r="B39" s="210" t="s">
        <v>6</v>
      </c>
      <c r="C39" s="505"/>
      <c r="E39" s="464">
        <f>'28. sz. mell Kornisné Kp. '!C39+'29. sz. mell Kornisné Kp.'!C39+'30. sz. mell Kornisné Kp '!C41</f>
        <v>0</v>
      </c>
      <c r="F39" s="464">
        <f t="shared" si="0"/>
        <v>0</v>
      </c>
    </row>
    <row r="40" spans="1:6" s="39" customFormat="1" ht="15" customHeight="1" thickBot="1" x14ac:dyDescent="0.3">
      <c r="A40" s="207" t="s">
        <v>343</v>
      </c>
      <c r="B40" s="57" t="s">
        <v>344</v>
      </c>
      <c r="C40" s="799">
        <f>1000960710+14404495</f>
        <v>1015365205</v>
      </c>
      <c r="E40" s="464">
        <f>'28. sz. mell Kornisné Kp. '!C40+'29. sz. mell Kornisné Kp.'!C40+'30. sz. mell Kornisné Kp '!C42</f>
        <v>1015365205</v>
      </c>
      <c r="F40" s="464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13">
        <f>+C36+C37</f>
        <v>1634110422</v>
      </c>
      <c r="E41" s="464">
        <f>'28. sz. mell Kornisné Kp. '!C41+'29. sz. mell Kornisné Kp.'!C41+'30. sz. mell Kornisné Kp '!C43</f>
        <v>1634110422</v>
      </c>
      <c r="F41" s="464">
        <f t="shared" si="0"/>
        <v>0</v>
      </c>
    </row>
    <row r="42" spans="1:6" s="213" customFormat="1" ht="12.15" customHeight="1" thickBot="1" x14ac:dyDescent="0.3">
      <c r="A42" s="91"/>
      <c r="B42" s="92" t="s">
        <v>53</v>
      </c>
      <c r="C42" s="514"/>
      <c r="E42" s="464">
        <f>'28. sz. mell Kornisné Kp. '!C42+'29. sz. mell Kornisné Kp.'!C42+'30. sz. mell Kornisné Kp '!C46</f>
        <v>0</v>
      </c>
      <c r="F42" s="464">
        <f t="shared" si="0"/>
        <v>0</v>
      </c>
    </row>
    <row r="43" spans="1:6" ht="12.15" customHeight="1" thickBot="1" x14ac:dyDescent="0.3">
      <c r="A43" s="74" t="s">
        <v>16</v>
      </c>
      <c r="B43" s="54" t="s">
        <v>346</v>
      </c>
      <c r="C43" s="502">
        <f>SUM(C44:C48)</f>
        <v>1579330422</v>
      </c>
      <c r="E43" s="464">
        <f>'28. sz. mell Kornisné Kp. '!C43+'29. sz. mell Kornisné Kp.'!C43+'30. sz. mell Kornisné Kp '!C47</f>
        <v>1579330422</v>
      </c>
      <c r="F43" s="464">
        <f t="shared" si="0"/>
        <v>0</v>
      </c>
    </row>
    <row r="44" spans="1:6" ht="12.15" customHeight="1" x14ac:dyDescent="0.25">
      <c r="A44" s="207" t="s">
        <v>85</v>
      </c>
      <c r="B44" s="6" t="s">
        <v>46</v>
      </c>
      <c r="C44" s="34">
        <f>880315606</f>
        <v>880315606</v>
      </c>
      <c r="E44" s="464">
        <f>'28. sz. mell Kornisné Kp. '!C44+'29. sz. mell Kornisné Kp.'!C44+'30. sz. mell Kornisné Kp '!C48</f>
        <v>880315606</v>
      </c>
      <c r="F44" s="464">
        <f t="shared" si="0"/>
        <v>0</v>
      </c>
    </row>
    <row r="45" spans="1:6" ht="12.15" customHeight="1" x14ac:dyDescent="0.25">
      <c r="A45" s="207" t="s">
        <v>86</v>
      </c>
      <c r="B45" s="5" t="s">
        <v>134</v>
      </c>
      <c r="C45" s="36">
        <f>114950794</f>
        <v>114950794</v>
      </c>
      <c r="E45" s="464">
        <f>'28. sz. mell Kornisné Kp. '!C45+'29. sz. mell Kornisné Kp.'!C45+'30. sz. mell Kornisné Kp '!C49</f>
        <v>114950794</v>
      </c>
      <c r="F45" s="464">
        <f t="shared" si="0"/>
        <v>0</v>
      </c>
    </row>
    <row r="46" spans="1:6" ht="12.15" customHeight="1" x14ac:dyDescent="0.25">
      <c r="A46" s="207" t="s">
        <v>87</v>
      </c>
      <c r="B46" s="5" t="s">
        <v>110</v>
      </c>
      <c r="C46" s="636">
        <f>445260519+14404495-4651481</f>
        <v>455013533</v>
      </c>
      <c r="E46" s="464">
        <f>'28. sz. mell Kornisné Kp. '!C46+'29. sz. mell Kornisné Kp.'!C46+'30. sz. mell Kornisné Kp '!C50</f>
        <v>455013533</v>
      </c>
      <c r="F46" s="464">
        <f t="shared" si="0"/>
        <v>0</v>
      </c>
    </row>
    <row r="47" spans="1:6" ht="12.15" customHeight="1" x14ac:dyDescent="0.25">
      <c r="A47" s="207" t="s">
        <v>88</v>
      </c>
      <c r="B47" s="5" t="s">
        <v>135</v>
      </c>
      <c r="C47" s="504"/>
      <c r="E47" s="464">
        <f>'28. sz. mell Kornisné Kp. '!C47+'29. sz. mell Kornisné Kp.'!C47+'30. sz. mell Kornisné Kp '!C51</f>
        <v>0</v>
      </c>
      <c r="F47" s="464">
        <f t="shared" si="0"/>
        <v>0</v>
      </c>
    </row>
    <row r="48" spans="1:6" ht="12.15" customHeight="1" thickBot="1" x14ac:dyDescent="0.3">
      <c r="A48" s="207" t="s">
        <v>111</v>
      </c>
      <c r="B48" s="5" t="s">
        <v>136</v>
      </c>
      <c r="C48" s="636">
        <f>124399008+4651481</f>
        <v>129050489</v>
      </c>
      <c r="E48" s="464">
        <f>'28. sz. mell Kornisné Kp. '!C48+'29. sz. mell Kornisné Kp.'!C48+'30. sz. mell Kornisné Kp '!C52</f>
        <v>129050489</v>
      </c>
      <c r="F48" s="464">
        <f t="shared" si="0"/>
        <v>0</v>
      </c>
    </row>
    <row r="49" spans="1:6" s="213" customFormat="1" ht="12.15" customHeight="1" thickBot="1" x14ac:dyDescent="0.3">
      <c r="A49" s="74" t="s">
        <v>17</v>
      </c>
      <c r="B49" s="54" t="s">
        <v>347</v>
      </c>
      <c r="C49" s="502">
        <f>SUM(C50:C52)</f>
        <v>54780000</v>
      </c>
      <c r="E49" s="464">
        <f>'28. sz. mell Kornisné Kp. '!C49+'29. sz. mell Kornisné Kp.'!C49+'30. sz. mell Kornisné Kp '!C53</f>
        <v>54780000</v>
      </c>
      <c r="F49" s="464">
        <f t="shared" si="0"/>
        <v>0</v>
      </c>
    </row>
    <row r="50" spans="1:6" ht="12.15" customHeight="1" x14ac:dyDescent="0.25">
      <c r="A50" s="207" t="s">
        <v>91</v>
      </c>
      <c r="B50" s="6" t="s">
        <v>157</v>
      </c>
      <c r="C50" s="34">
        <f>54780000</f>
        <v>54780000</v>
      </c>
      <c r="E50" s="464">
        <f>'28. sz. mell Kornisné Kp. '!C50+'29. sz. mell Kornisné Kp.'!C50+'30. sz. mell Kornisné Kp '!C54</f>
        <v>54780000</v>
      </c>
      <c r="F50" s="464">
        <f t="shared" si="0"/>
        <v>0</v>
      </c>
    </row>
    <row r="51" spans="1:6" ht="12.15" customHeight="1" x14ac:dyDescent="0.25">
      <c r="A51" s="207" t="s">
        <v>92</v>
      </c>
      <c r="B51" s="5" t="s">
        <v>138</v>
      </c>
      <c r="C51" s="504"/>
      <c r="E51" s="464">
        <f>'28. sz. mell Kornisné Kp. '!C51+'29. sz. mell Kornisné Kp.'!C51+'30. sz. mell Kornisné Kp '!C55</f>
        <v>0</v>
      </c>
      <c r="F51" s="464">
        <f t="shared" si="0"/>
        <v>0</v>
      </c>
    </row>
    <row r="52" spans="1:6" ht="12.15" customHeight="1" x14ac:dyDescent="0.25">
      <c r="A52" s="207" t="s">
        <v>93</v>
      </c>
      <c r="B52" s="5" t="s">
        <v>54</v>
      </c>
      <c r="C52" s="504"/>
      <c r="E52" s="464">
        <f>'28. sz. mell Kornisné Kp. '!C52+'29. sz. mell Kornisné Kp.'!C52+'30. sz. mell Kornisné Kp '!C56</f>
        <v>0</v>
      </c>
      <c r="F52" s="464">
        <f t="shared" si="0"/>
        <v>0</v>
      </c>
    </row>
    <row r="53" spans="1:6" ht="15" customHeight="1" thickBot="1" x14ac:dyDescent="0.3">
      <c r="A53" s="207" t="s">
        <v>94</v>
      </c>
      <c r="B53" s="5" t="s">
        <v>462</v>
      </c>
      <c r="C53" s="504"/>
      <c r="E53" s="464">
        <f>'28. sz. mell Kornisné Kp. '!C53+'29. sz. mell Kornisné Kp.'!C53+'30. sz. mell Kornisné Kp '!C57</f>
        <v>0</v>
      </c>
      <c r="F53" s="464">
        <f t="shared" si="0"/>
        <v>0</v>
      </c>
    </row>
    <row r="54" spans="1:6" ht="13.8" thickBot="1" x14ac:dyDescent="0.3">
      <c r="A54" s="74" t="s">
        <v>18</v>
      </c>
      <c r="B54" s="54" t="s">
        <v>12</v>
      </c>
      <c r="C54" s="509"/>
      <c r="E54" s="464">
        <f>'28. sz. mell Kornisné Kp. '!C54+'29. sz. mell Kornisné Kp.'!C54+'30. sz. mell Kornisné Kp '!C58</f>
        <v>0</v>
      </c>
      <c r="F54" s="464">
        <f t="shared" si="0"/>
        <v>0</v>
      </c>
    </row>
    <row r="55" spans="1:6" ht="15" customHeight="1" thickBot="1" x14ac:dyDescent="0.3">
      <c r="A55" s="74" t="s">
        <v>19</v>
      </c>
      <c r="B55" s="93" t="s">
        <v>463</v>
      </c>
      <c r="C55" s="517">
        <f>+C43+C49+C54</f>
        <v>1634110422</v>
      </c>
      <c r="E55" s="464">
        <f>'28. sz. mell Kornisné Kp. '!C55+'29. sz. mell Kornisné Kp.'!C55+'30. sz. mell Kornisné Kp '!C59</f>
        <v>1634110422</v>
      </c>
      <c r="F55" s="464">
        <f t="shared" si="0"/>
        <v>0</v>
      </c>
    </row>
    <row r="56" spans="1:6" ht="13.8" thickBot="1" x14ac:dyDescent="0.3">
      <c r="A56" s="1341" t="s">
        <v>456</v>
      </c>
      <c r="B56" s="1342"/>
      <c r="C56" s="807">
        <f>151-3.33+3+1-2-8</f>
        <v>141.66999999999999</v>
      </c>
      <c r="E56" s="1089">
        <f>'28. sz. mell Kornisné Kp. '!C56+'29. sz. mell Kornisné Kp.'!C56+'30. sz. mell Kornisné Kp '!C61</f>
        <v>141.67000000000002</v>
      </c>
      <c r="F56" s="464">
        <f t="shared" si="0"/>
        <v>0</v>
      </c>
    </row>
    <row r="57" spans="1:6" s="314" customFormat="1" ht="13.95" customHeight="1" thickBot="1" x14ac:dyDescent="0.3">
      <c r="A57" s="1351" t="s">
        <v>640</v>
      </c>
      <c r="B57" s="1352"/>
      <c r="C57" s="523">
        <v>0</v>
      </c>
      <c r="E57" s="464"/>
      <c r="F57" s="464"/>
    </row>
    <row r="58" spans="1:6" s="314" customFormat="1" ht="19.95" customHeight="1" thickBot="1" x14ac:dyDescent="0.3">
      <c r="A58" s="1347" t="s">
        <v>501</v>
      </c>
      <c r="B58" s="1348"/>
      <c r="C58" s="705">
        <v>0</v>
      </c>
      <c r="E58" s="464" t="e">
        <f>'28. sz. mell Kornisné Kp. '!C58+'29. sz. mell Kornisné Kp.'!#REF!+'30. sz. mell Kornisné Kp '!C63</f>
        <v>#REF!</v>
      </c>
      <c r="F58" s="464" t="e">
        <f t="shared" si="0"/>
        <v>#REF!</v>
      </c>
    </row>
    <row r="59" spans="1:6" ht="13.8" thickBot="1" x14ac:dyDescent="0.3">
      <c r="A59" s="1349" t="s">
        <v>816</v>
      </c>
      <c r="B59" s="1350"/>
      <c r="C59" s="705">
        <v>111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8"/>
  <sheetViews>
    <sheetView topLeftCell="C1" zoomScale="115" zoomScaleNormal="115" zoomScaleSheetLayoutView="100" workbookViewId="0">
      <selection activeCell="D1" sqref="D1:O1048576"/>
    </sheetView>
  </sheetViews>
  <sheetFormatPr defaultColWidth="9.33203125" defaultRowHeight="15.6" x14ac:dyDescent="0.3"/>
  <cols>
    <col min="1" max="1" width="9.44140625" style="167" customWidth="1"/>
    <col min="2" max="2" width="91.6640625" style="167" customWidth="1"/>
    <col min="3" max="3" width="21.109375" style="280" customWidth="1"/>
    <col min="4" max="4" width="19.33203125" style="167" hidden="1" customWidth="1"/>
    <col min="5" max="8" width="15.77734375" style="167" hidden="1" customWidth="1"/>
    <col min="9" max="9" width="21.77734375" style="167" hidden="1" customWidth="1"/>
    <col min="10" max="12" width="9.33203125" style="167" hidden="1" customWidth="1"/>
    <col min="13" max="15" width="0" style="167" hidden="1" customWidth="1"/>
    <col min="16" max="16384" width="9.33203125" style="167"/>
  </cols>
  <sheetData>
    <row r="1" spans="1:9" x14ac:dyDescent="0.3">
      <c r="A1" s="1281" t="str">
        <f>CONCATENATE("2. melléklet"," ",ALAPADATOK!A7," ",ALAPADATOK!B7," ",ALAPADATOK!C7," ",ALAPADATOK!D7," ",ALAPADATOK!E7," ",ALAPADATOK!F7," ",ALAPADATOK!G7," ",ALAPADATOK!H7)</f>
        <v>2. melléklet a …. / 2024. ( .... ) önkormányzati rendelethez</v>
      </c>
      <c r="B1" s="1281"/>
      <c r="C1" s="1281"/>
    </row>
    <row r="2" spans="1:9" x14ac:dyDescent="0.3">
      <c r="A2" s="583"/>
      <c r="B2" s="583"/>
      <c r="C2" s="583"/>
    </row>
    <row r="3" spans="1:9" x14ac:dyDescent="0.3">
      <c r="A3" s="1280" t="str">
        <f>CONCATENATE(ALAPADATOK!A3)</f>
        <v>Tiszavasvári Város Önkormányzat</v>
      </c>
      <c r="B3" s="1280"/>
      <c r="C3" s="1280"/>
    </row>
    <row r="4" spans="1:9" x14ac:dyDescent="0.3">
      <c r="A4" s="1279" t="str">
        <f>CONCATENATE(ALAPADATOK!D7," ÉVI KÖLTSÉGVETÉS")</f>
        <v>2024. ÉVI KÖLTSÉGVETÉS</v>
      </c>
      <c r="B4" s="1279"/>
      <c r="C4" s="1279"/>
    </row>
    <row r="5" spans="1:9" x14ac:dyDescent="0.3">
      <c r="A5" s="1279" t="s">
        <v>658</v>
      </c>
      <c r="B5" s="1279"/>
      <c r="C5" s="1279"/>
    </row>
    <row r="7" spans="1:9" ht="15.9" customHeight="1" x14ac:dyDescent="0.3">
      <c r="A7" s="1283" t="s">
        <v>13</v>
      </c>
      <c r="B7" s="1283"/>
      <c r="C7" s="1283"/>
    </row>
    <row r="8" spans="1:9" ht="15.9" customHeight="1" thickBot="1" x14ac:dyDescent="0.35">
      <c r="A8" s="1282" t="s">
        <v>114</v>
      </c>
      <c r="B8" s="1282"/>
      <c r="C8" s="119" t="s">
        <v>483</v>
      </c>
    </row>
    <row r="9" spans="1:9" ht="38.1" customHeight="1" thickBot="1" x14ac:dyDescent="0.35">
      <c r="A9" s="20" t="s">
        <v>63</v>
      </c>
      <c r="B9" s="21" t="s">
        <v>15</v>
      </c>
      <c r="C9" s="29" t="s">
        <v>1010</v>
      </c>
      <c r="D9" s="167" t="s">
        <v>487</v>
      </c>
      <c r="E9" s="167" t="s">
        <v>488</v>
      </c>
      <c r="F9" s="167" t="s">
        <v>887</v>
      </c>
      <c r="G9" s="167" t="s">
        <v>888</v>
      </c>
      <c r="H9" s="167" t="s">
        <v>889</v>
      </c>
      <c r="I9" s="167" t="s">
        <v>890</v>
      </c>
    </row>
    <row r="10" spans="1:9" s="178" customFormat="1" ht="12.15" customHeight="1" thickBot="1" x14ac:dyDescent="0.25">
      <c r="A10" s="173" t="s">
        <v>382</v>
      </c>
      <c r="B10" s="174" t="s">
        <v>383</v>
      </c>
      <c r="C10" s="175" t="s">
        <v>384</v>
      </c>
    </row>
    <row r="11" spans="1:9" s="179" customFormat="1" ht="12.15" customHeight="1" thickBot="1" x14ac:dyDescent="0.3">
      <c r="A11" s="17" t="s">
        <v>16</v>
      </c>
      <c r="B11" s="18" t="s">
        <v>179</v>
      </c>
      <c r="C11" s="110">
        <f t="shared" ref="C11:C42" si="0">SUM(D11:I11)</f>
        <v>1859631776</v>
      </c>
      <c r="D11" s="255">
        <f t="shared" ref="D11:I11" si="1">+D12+D13+D14+D17+D18+D19</f>
        <v>1859631776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.15" customHeight="1" x14ac:dyDescent="0.25">
      <c r="A12" s="12" t="s">
        <v>85</v>
      </c>
      <c r="B12" s="180" t="s">
        <v>180</v>
      </c>
      <c r="C12" s="273">
        <f t="shared" si="0"/>
        <v>335527915</v>
      </c>
      <c r="D12" s="214">
        <v>335527915</v>
      </c>
      <c r="E12" s="214"/>
      <c r="F12" s="214"/>
      <c r="G12" s="214"/>
      <c r="H12" s="214"/>
      <c r="I12" s="214"/>
    </row>
    <row r="13" spans="1:9" s="179" customFormat="1" ht="12.15" customHeight="1" x14ac:dyDescent="0.25">
      <c r="A13" s="11" t="s">
        <v>86</v>
      </c>
      <c r="B13" s="181" t="s">
        <v>181</v>
      </c>
      <c r="C13" s="274">
        <f t="shared" si="0"/>
        <v>495393274</v>
      </c>
      <c r="D13" s="114">
        <v>495393274</v>
      </c>
      <c r="E13" s="114"/>
      <c r="F13" s="114"/>
      <c r="G13" s="114"/>
      <c r="H13" s="114"/>
      <c r="I13" s="114"/>
    </row>
    <row r="14" spans="1:9" s="179" customFormat="1" ht="12.15" customHeight="1" x14ac:dyDescent="0.25">
      <c r="A14" s="11" t="s">
        <v>87</v>
      </c>
      <c r="B14" s="181" t="s">
        <v>696</v>
      </c>
      <c r="C14" s="274">
        <f t="shared" si="0"/>
        <v>756099249</v>
      </c>
      <c r="D14" s="114">
        <f t="shared" ref="D14:E14" si="2">SUM(D15:D16)</f>
        <v>756099249</v>
      </c>
      <c r="E14" s="114">
        <f t="shared" si="2"/>
        <v>0</v>
      </c>
      <c r="F14" s="114">
        <f t="shared" ref="F14:G14" si="3">SUM(F15:F16)</f>
        <v>0</v>
      </c>
      <c r="G14" s="114">
        <f t="shared" si="3"/>
        <v>0</v>
      </c>
      <c r="H14" s="114">
        <f t="shared" ref="H14:I14" si="4">SUM(H15:H16)</f>
        <v>0</v>
      </c>
      <c r="I14" s="114">
        <f t="shared" si="4"/>
        <v>0</v>
      </c>
    </row>
    <row r="15" spans="1:9" s="179" customFormat="1" ht="12.15" customHeight="1" x14ac:dyDescent="0.25">
      <c r="A15" s="11" t="s">
        <v>694</v>
      </c>
      <c r="B15" s="181" t="s">
        <v>697</v>
      </c>
      <c r="C15" s="274">
        <f t="shared" si="0"/>
        <v>400213287</v>
      </c>
      <c r="D15" s="114">
        <v>400213287</v>
      </c>
      <c r="E15" s="114"/>
      <c r="F15" s="114"/>
      <c r="G15" s="114"/>
      <c r="H15" s="114"/>
      <c r="I15" s="114"/>
    </row>
    <row r="16" spans="1:9" s="179" customFormat="1" ht="12.15" customHeight="1" x14ac:dyDescent="0.25">
      <c r="A16" s="11" t="s">
        <v>695</v>
      </c>
      <c r="B16" s="181" t="s">
        <v>698</v>
      </c>
      <c r="C16" s="274">
        <f t="shared" si="0"/>
        <v>355885962</v>
      </c>
      <c r="D16" s="114">
        <v>355885962</v>
      </c>
      <c r="E16" s="114"/>
      <c r="F16" s="114"/>
      <c r="G16" s="114"/>
      <c r="H16" s="114"/>
      <c r="I16" s="114"/>
    </row>
    <row r="17" spans="1:11" s="179" customFormat="1" ht="12.15" customHeight="1" x14ac:dyDescent="0.25">
      <c r="A17" s="11" t="s">
        <v>88</v>
      </c>
      <c r="B17" s="181" t="s">
        <v>183</v>
      </c>
      <c r="C17" s="274">
        <f t="shared" si="0"/>
        <v>59224282</v>
      </c>
      <c r="D17" s="114">
        <v>59224282</v>
      </c>
      <c r="E17" s="114"/>
      <c r="F17" s="114"/>
      <c r="G17" s="114"/>
      <c r="H17" s="114"/>
      <c r="I17" s="114"/>
    </row>
    <row r="18" spans="1:11" s="179" customFormat="1" ht="12.15" customHeight="1" x14ac:dyDescent="0.25">
      <c r="A18" s="11" t="s">
        <v>111</v>
      </c>
      <c r="B18" s="106" t="s">
        <v>385</v>
      </c>
      <c r="C18" s="274">
        <f t="shared" si="0"/>
        <v>213387056</v>
      </c>
      <c r="D18" s="114">
        <f>209028826+1300000+3058230</f>
        <v>213387056</v>
      </c>
      <c r="E18" s="114"/>
      <c r="F18" s="114"/>
      <c r="G18" s="114"/>
      <c r="H18" s="114"/>
      <c r="I18" s="114"/>
    </row>
    <row r="19" spans="1:11" s="179" customFormat="1" ht="12.15" customHeight="1" thickBot="1" x14ac:dyDescent="0.3">
      <c r="A19" s="13" t="s">
        <v>89</v>
      </c>
      <c r="B19" s="107" t="s">
        <v>386</v>
      </c>
      <c r="C19" s="631">
        <f t="shared" si="0"/>
        <v>0</v>
      </c>
      <c r="D19" s="99"/>
      <c r="E19" s="111"/>
      <c r="F19" s="114"/>
      <c r="G19" s="114"/>
      <c r="H19" s="114"/>
      <c r="I19" s="111"/>
    </row>
    <row r="20" spans="1:11" s="179" customFormat="1" ht="12.15" customHeight="1" thickBot="1" x14ac:dyDescent="0.3">
      <c r="A20" s="17" t="s">
        <v>17</v>
      </c>
      <c r="B20" s="105" t="s">
        <v>184</v>
      </c>
      <c r="C20" s="110">
        <f t="shared" si="0"/>
        <v>76567031</v>
      </c>
      <c r="D20" s="255">
        <f t="shared" ref="D20:I20" si="5">+D21+D22+D23+D24+D25</f>
        <v>76567031</v>
      </c>
      <c r="E20" s="110">
        <f t="shared" si="5"/>
        <v>0</v>
      </c>
      <c r="F20" s="110">
        <f t="shared" si="5"/>
        <v>0</v>
      </c>
      <c r="G20" s="110">
        <f t="shared" si="5"/>
        <v>0</v>
      </c>
      <c r="H20" s="110">
        <f t="shared" si="5"/>
        <v>0</v>
      </c>
      <c r="I20" s="110">
        <f t="shared" si="5"/>
        <v>0</v>
      </c>
    </row>
    <row r="21" spans="1:11" s="179" customFormat="1" ht="12.15" customHeight="1" x14ac:dyDescent="0.25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214"/>
      <c r="G21" s="214"/>
      <c r="H21" s="214"/>
      <c r="I21" s="112"/>
    </row>
    <row r="22" spans="1:11" s="179" customFormat="1" ht="12.15" customHeight="1" x14ac:dyDescent="0.25">
      <c r="A22" s="11" t="s">
        <v>92</v>
      </c>
      <c r="B22" s="181" t="s">
        <v>186</v>
      </c>
      <c r="C22" s="274">
        <f t="shared" si="0"/>
        <v>0</v>
      </c>
      <c r="D22" s="99"/>
      <c r="E22" s="111"/>
      <c r="F22" s="114"/>
      <c r="G22" s="114"/>
      <c r="H22" s="114"/>
      <c r="I22" s="111"/>
    </row>
    <row r="23" spans="1:11" s="179" customFormat="1" ht="12.15" customHeight="1" x14ac:dyDescent="0.25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4"/>
      <c r="G23" s="114"/>
      <c r="H23" s="114"/>
      <c r="I23" s="111"/>
    </row>
    <row r="24" spans="1:11" s="179" customFormat="1" ht="12.15" customHeight="1" x14ac:dyDescent="0.25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4"/>
      <c r="G24" s="114"/>
      <c r="H24" s="114"/>
      <c r="I24" s="111"/>
    </row>
    <row r="25" spans="1:11" s="179" customFormat="1" ht="12.15" customHeight="1" x14ac:dyDescent="0.25">
      <c r="A25" s="11" t="s">
        <v>95</v>
      </c>
      <c r="B25" s="181" t="s">
        <v>187</v>
      </c>
      <c r="C25" s="274">
        <f t="shared" si="0"/>
        <v>76567031</v>
      </c>
      <c r="D25" s="246">
        <f>76529532+37499</f>
        <v>76567031</v>
      </c>
      <c r="E25" s="114"/>
      <c r="F25" s="114"/>
      <c r="G25" s="114"/>
      <c r="H25" s="114"/>
      <c r="I25" s="114"/>
    </row>
    <row r="26" spans="1:11" s="179" customFormat="1" ht="12.15" customHeight="1" thickBot="1" x14ac:dyDescent="0.3">
      <c r="A26" s="13" t="s">
        <v>104</v>
      </c>
      <c r="B26" s="107" t="s">
        <v>188</v>
      </c>
      <c r="C26" s="631">
        <f t="shared" si="0"/>
        <v>23125031</v>
      </c>
      <c r="D26" s="249">
        <f>23087532+37499</f>
        <v>23125031</v>
      </c>
      <c r="E26" s="170"/>
      <c r="F26" s="170"/>
      <c r="G26" s="170"/>
      <c r="H26" s="170"/>
      <c r="I26" s="170"/>
    </row>
    <row r="27" spans="1:11" s="179" customFormat="1" ht="12.15" customHeight="1" thickBot="1" x14ac:dyDescent="0.3">
      <c r="A27" s="17" t="s">
        <v>18</v>
      </c>
      <c r="B27" s="18" t="s">
        <v>189</v>
      </c>
      <c r="C27" s="110">
        <f t="shared" si="0"/>
        <v>189350492</v>
      </c>
      <c r="D27" s="255">
        <f t="shared" ref="D27:I27" si="6">+D28+D29+D30+D31+D32</f>
        <v>189350492</v>
      </c>
      <c r="E27" s="110">
        <f t="shared" si="6"/>
        <v>0</v>
      </c>
      <c r="F27" s="110">
        <f t="shared" si="6"/>
        <v>0</v>
      </c>
      <c r="G27" s="110">
        <f t="shared" si="6"/>
        <v>0</v>
      </c>
      <c r="H27" s="110">
        <f t="shared" si="6"/>
        <v>0</v>
      </c>
      <c r="I27" s="110">
        <f t="shared" si="6"/>
        <v>0</v>
      </c>
    </row>
    <row r="28" spans="1:11" s="179" customFormat="1" ht="12.15" customHeight="1" x14ac:dyDescent="0.25">
      <c r="A28" s="12" t="s">
        <v>74</v>
      </c>
      <c r="B28" s="180" t="s">
        <v>190</v>
      </c>
      <c r="C28" s="273">
        <f t="shared" si="0"/>
        <v>0</v>
      </c>
      <c r="D28" s="639"/>
      <c r="E28" s="467"/>
      <c r="F28" s="214"/>
      <c r="G28" s="214"/>
      <c r="H28" s="214"/>
      <c r="I28" s="467"/>
    </row>
    <row r="29" spans="1:11" s="179" customFormat="1" ht="12.15" customHeight="1" x14ac:dyDescent="0.25">
      <c r="A29" s="11" t="s">
        <v>75</v>
      </c>
      <c r="B29" s="181" t="s">
        <v>191</v>
      </c>
      <c r="C29" s="274">
        <f t="shared" si="0"/>
        <v>0</v>
      </c>
      <c r="D29" s="246"/>
      <c r="E29" s="114"/>
      <c r="F29" s="114"/>
      <c r="G29" s="114"/>
      <c r="H29" s="114"/>
      <c r="I29" s="114"/>
    </row>
    <row r="30" spans="1:11" s="179" customFormat="1" ht="12.15" customHeight="1" x14ac:dyDescent="0.25">
      <c r="A30" s="11" t="s">
        <v>76</v>
      </c>
      <c r="B30" s="181" t="s">
        <v>354</v>
      </c>
      <c r="C30" s="274">
        <f t="shared" si="0"/>
        <v>0</v>
      </c>
      <c r="D30" s="246"/>
      <c r="E30" s="114"/>
      <c r="F30" s="114"/>
      <c r="G30" s="114"/>
      <c r="H30" s="114"/>
      <c r="I30" s="114"/>
      <c r="K30" s="698"/>
    </row>
    <row r="31" spans="1:11" s="179" customFormat="1" ht="12.15" customHeight="1" x14ac:dyDescent="0.25">
      <c r="A31" s="11" t="s">
        <v>77</v>
      </c>
      <c r="B31" s="181" t="s">
        <v>355</v>
      </c>
      <c r="C31" s="274">
        <f t="shared" si="0"/>
        <v>0</v>
      </c>
      <c r="D31" s="246"/>
      <c r="E31" s="114"/>
      <c r="F31" s="114"/>
      <c r="G31" s="114"/>
      <c r="H31" s="114"/>
      <c r="I31" s="114"/>
    </row>
    <row r="32" spans="1:11" s="179" customFormat="1" ht="12.15" customHeight="1" x14ac:dyDescent="0.25">
      <c r="A32" s="11" t="s">
        <v>122</v>
      </c>
      <c r="B32" s="181" t="s">
        <v>192</v>
      </c>
      <c r="C32" s="274">
        <f t="shared" si="0"/>
        <v>189350492</v>
      </c>
      <c r="D32" s="246">
        <f>180273229+9077263</f>
        <v>189350492</v>
      </c>
      <c r="E32" s="114"/>
      <c r="F32" s="114"/>
      <c r="G32" s="114"/>
      <c r="H32" s="114"/>
      <c r="I32" s="114"/>
    </row>
    <row r="33" spans="1:9" s="179" customFormat="1" ht="12.15" customHeight="1" thickBot="1" x14ac:dyDescent="0.3">
      <c r="A33" s="13" t="s">
        <v>123</v>
      </c>
      <c r="B33" s="182" t="s">
        <v>193</v>
      </c>
      <c r="C33" s="631">
        <f t="shared" si="0"/>
        <v>189350492</v>
      </c>
      <c r="D33" s="249">
        <f>180273229+9077263</f>
        <v>189350492</v>
      </c>
      <c r="E33" s="170"/>
      <c r="F33" s="170"/>
      <c r="G33" s="170"/>
      <c r="H33" s="170"/>
      <c r="I33" s="170"/>
    </row>
    <row r="34" spans="1:9" s="179" customFormat="1" ht="12.15" customHeight="1" thickBot="1" x14ac:dyDescent="0.3">
      <c r="A34" s="17" t="s">
        <v>124</v>
      </c>
      <c r="B34" s="18" t="s">
        <v>194</v>
      </c>
      <c r="C34" s="110">
        <f t="shared" si="0"/>
        <v>753676479</v>
      </c>
      <c r="D34" s="257">
        <f t="shared" ref="D34:I34" si="7">+D35++D39+D40</f>
        <v>753676479</v>
      </c>
      <c r="E34" s="257">
        <f t="shared" si="7"/>
        <v>0</v>
      </c>
      <c r="F34" s="257">
        <f t="shared" si="7"/>
        <v>0</v>
      </c>
      <c r="G34" s="257">
        <f t="shared" si="7"/>
        <v>0</v>
      </c>
      <c r="H34" s="257">
        <f t="shared" si="7"/>
        <v>0</v>
      </c>
      <c r="I34" s="257">
        <f t="shared" si="7"/>
        <v>0</v>
      </c>
    </row>
    <row r="35" spans="1:9" s="179" customFormat="1" ht="12.15" customHeight="1" x14ac:dyDescent="0.25">
      <c r="A35" s="12" t="s">
        <v>195</v>
      </c>
      <c r="B35" s="180" t="s">
        <v>553</v>
      </c>
      <c r="C35" s="176">
        <f t="shared" si="0"/>
        <v>729876479</v>
      </c>
      <c r="D35" s="269">
        <f>SUM(D36:D37)</f>
        <v>729876479</v>
      </c>
      <c r="E35" s="269">
        <f t="shared" ref="E35" si="8">SUM(E36:E37)</f>
        <v>0</v>
      </c>
      <c r="F35" s="1040">
        <f t="shared" ref="F35:G35" si="9">SUM(F36:F37)</f>
        <v>0</v>
      </c>
      <c r="G35" s="1040">
        <f t="shared" si="9"/>
        <v>0</v>
      </c>
      <c r="H35" s="1040">
        <f t="shared" ref="H35:I35" si="10">SUM(H36:H37)</f>
        <v>0</v>
      </c>
      <c r="I35" s="269">
        <f t="shared" si="10"/>
        <v>0</v>
      </c>
    </row>
    <row r="36" spans="1:9" s="179" customFormat="1" ht="12.15" customHeight="1" x14ac:dyDescent="0.25">
      <c r="A36" s="11" t="s">
        <v>196</v>
      </c>
      <c r="B36" s="181" t="s">
        <v>201</v>
      </c>
      <c r="C36" s="274">
        <f t="shared" si="0"/>
        <v>95000000</v>
      </c>
      <c r="D36" s="99">
        <v>95000000</v>
      </c>
      <c r="E36" s="111"/>
      <c r="F36" s="114"/>
      <c r="G36" s="114"/>
      <c r="H36" s="114"/>
      <c r="I36" s="111"/>
    </row>
    <row r="37" spans="1:9" s="179" customFormat="1" ht="12.15" customHeight="1" x14ac:dyDescent="0.25">
      <c r="A37" s="11" t="s">
        <v>197</v>
      </c>
      <c r="B37" s="232" t="s">
        <v>552</v>
      </c>
      <c r="C37" s="628">
        <f t="shared" si="0"/>
        <v>634876479</v>
      </c>
      <c r="D37" s="99">
        <f>616000000+18876479</f>
        <v>634876479</v>
      </c>
      <c r="E37" s="111"/>
      <c r="F37" s="114"/>
      <c r="G37" s="114"/>
      <c r="H37" s="114"/>
      <c r="I37" s="111"/>
    </row>
    <row r="38" spans="1:9" s="179" customFormat="1" ht="12.15" customHeight="1" x14ac:dyDescent="0.25">
      <c r="A38" s="11" t="s">
        <v>198</v>
      </c>
      <c r="B38" s="181" t="s">
        <v>469</v>
      </c>
      <c r="C38" s="274">
        <f t="shared" si="0"/>
        <v>0</v>
      </c>
      <c r="D38" s="246"/>
      <c r="E38" s="114"/>
      <c r="F38" s="114"/>
      <c r="G38" s="114"/>
      <c r="H38" s="114"/>
      <c r="I38" s="114"/>
    </row>
    <row r="39" spans="1:9" s="179" customFormat="1" ht="12.15" customHeight="1" x14ac:dyDescent="0.25">
      <c r="A39" s="11" t="s">
        <v>200</v>
      </c>
      <c r="B39" s="181" t="s">
        <v>203</v>
      </c>
      <c r="C39" s="274">
        <f t="shared" si="0"/>
        <v>1000000</v>
      </c>
      <c r="D39" s="99">
        <v>1000000</v>
      </c>
      <c r="E39" s="111"/>
      <c r="F39" s="114"/>
      <c r="G39" s="114"/>
      <c r="H39" s="114"/>
      <c r="I39" s="111"/>
    </row>
    <row r="40" spans="1:9" s="179" customFormat="1" ht="12.15" customHeight="1" thickBot="1" x14ac:dyDescent="0.3">
      <c r="A40" s="13" t="s">
        <v>471</v>
      </c>
      <c r="B40" s="182" t="s">
        <v>204</v>
      </c>
      <c r="C40" s="278">
        <f t="shared" si="0"/>
        <v>22800000</v>
      </c>
      <c r="D40" s="249">
        <v>22800000</v>
      </c>
      <c r="E40" s="170"/>
      <c r="F40" s="170"/>
      <c r="G40" s="170"/>
      <c r="H40" s="170"/>
      <c r="I40" s="170"/>
    </row>
    <row r="41" spans="1:9" s="179" customFormat="1" ht="12.15" customHeight="1" thickBot="1" x14ac:dyDescent="0.3">
      <c r="A41" s="17" t="s">
        <v>20</v>
      </c>
      <c r="B41" s="18" t="s">
        <v>387</v>
      </c>
      <c r="C41" s="110">
        <f t="shared" si="0"/>
        <v>211532770</v>
      </c>
      <c r="D41" s="255">
        <f t="shared" ref="D41:E41" si="11">SUM(D42:D52)</f>
        <v>94972168</v>
      </c>
      <c r="E41" s="110">
        <f t="shared" si="11"/>
        <v>66132861</v>
      </c>
      <c r="F41" s="110">
        <f t="shared" ref="F41:G41" si="12">SUM(F42:F52)</f>
        <v>10122756</v>
      </c>
      <c r="G41" s="110">
        <f t="shared" si="12"/>
        <v>25134400</v>
      </c>
      <c r="H41" s="110">
        <f t="shared" ref="H41:I41" si="13">SUM(H42:H52)</f>
        <v>1740585</v>
      </c>
      <c r="I41" s="110">
        <f t="shared" si="13"/>
        <v>13430000</v>
      </c>
    </row>
    <row r="42" spans="1:9" s="179" customFormat="1" ht="12.15" customHeight="1" x14ac:dyDescent="0.25">
      <c r="A42" s="12" t="s">
        <v>78</v>
      </c>
      <c r="B42" s="180" t="s">
        <v>207</v>
      </c>
      <c r="C42" s="176">
        <f t="shared" si="0"/>
        <v>0</v>
      </c>
      <c r="D42" s="639"/>
      <c r="E42" s="214"/>
      <c r="F42" s="214"/>
      <c r="G42" s="214"/>
      <c r="H42" s="214"/>
      <c r="I42" s="214"/>
    </row>
    <row r="43" spans="1:9" s="179" customFormat="1" ht="12.15" customHeight="1" x14ac:dyDescent="0.25">
      <c r="A43" s="11" t="s">
        <v>79</v>
      </c>
      <c r="B43" s="181" t="s">
        <v>208</v>
      </c>
      <c r="C43" s="628">
        <f t="shared" ref="C43:C74" si="14">SUM(D43:I43)</f>
        <v>63073886</v>
      </c>
      <c r="D43" s="246">
        <f>20241976+3878895</f>
        <v>24120871</v>
      </c>
      <c r="E43" s="114">
        <v>9779000</v>
      </c>
      <c r="F43" s="214">
        <v>600000</v>
      </c>
      <c r="G43" s="214">
        <v>17999212</v>
      </c>
      <c r="H43" s="214"/>
      <c r="I43" s="214">
        <v>10574803</v>
      </c>
    </row>
    <row r="44" spans="1:9" s="179" customFormat="1" ht="12.15" customHeight="1" x14ac:dyDescent="0.25">
      <c r="A44" s="11" t="s">
        <v>80</v>
      </c>
      <c r="B44" s="181" t="s">
        <v>209</v>
      </c>
      <c r="C44" s="274">
        <f t="shared" si="14"/>
        <v>32914518</v>
      </c>
      <c r="D44" s="246">
        <v>17799041</v>
      </c>
      <c r="E44" s="114">
        <v>7815477</v>
      </c>
      <c r="F44" s="214">
        <v>6980000</v>
      </c>
      <c r="G44" s="214">
        <v>320000</v>
      </c>
      <c r="H44" s="214"/>
      <c r="I44" s="214"/>
    </row>
    <row r="45" spans="1:9" s="179" customFormat="1" ht="12.15" customHeight="1" x14ac:dyDescent="0.25">
      <c r="A45" s="11" t="s">
        <v>126</v>
      </c>
      <c r="B45" s="181" t="s">
        <v>210</v>
      </c>
      <c r="C45" s="274">
        <f t="shared" si="14"/>
        <v>3395000</v>
      </c>
      <c r="D45" s="246">
        <v>3395000</v>
      </c>
      <c r="E45" s="114"/>
      <c r="F45" s="214"/>
      <c r="G45" s="214"/>
      <c r="H45" s="214"/>
      <c r="I45" s="214"/>
    </row>
    <row r="46" spans="1:9" s="179" customFormat="1" ht="12.15" customHeight="1" x14ac:dyDescent="0.25">
      <c r="A46" s="11" t="s">
        <v>127</v>
      </c>
      <c r="B46" s="181" t="s">
        <v>211</v>
      </c>
      <c r="C46" s="274">
        <f t="shared" si="14"/>
        <v>30301110</v>
      </c>
      <c r="D46" s="246"/>
      <c r="E46" s="114">
        <v>28177725</v>
      </c>
      <c r="F46" s="214">
        <v>382800</v>
      </c>
      <c r="G46" s="214"/>
      <c r="H46" s="214">
        <v>1740585</v>
      </c>
      <c r="I46" s="214"/>
    </row>
    <row r="47" spans="1:9" s="179" customFormat="1" ht="12.15" customHeight="1" x14ac:dyDescent="0.25">
      <c r="A47" s="11" t="s">
        <v>128</v>
      </c>
      <c r="B47" s="181" t="s">
        <v>212</v>
      </c>
      <c r="C47" s="628">
        <f t="shared" si="14"/>
        <v>31899675</v>
      </c>
      <c r="D47" s="246">
        <f>11133726+1047302</f>
        <v>12181028</v>
      </c>
      <c r="E47" s="114">
        <v>9767306</v>
      </c>
      <c r="F47" s="214">
        <v>2149956</v>
      </c>
      <c r="G47" s="214">
        <v>4946188</v>
      </c>
      <c r="H47" s="214"/>
      <c r="I47" s="214">
        <v>2855197</v>
      </c>
    </row>
    <row r="48" spans="1:9" s="179" customFormat="1" ht="12.15" customHeight="1" x14ac:dyDescent="0.25">
      <c r="A48" s="11" t="s">
        <v>129</v>
      </c>
      <c r="B48" s="181" t="s">
        <v>213</v>
      </c>
      <c r="C48" s="277">
        <f t="shared" si="14"/>
        <v>49436581</v>
      </c>
      <c r="D48" s="246">
        <v>36976228</v>
      </c>
      <c r="E48" s="114">
        <v>10591353</v>
      </c>
      <c r="F48" s="214"/>
      <c r="G48" s="214">
        <v>1869000</v>
      </c>
      <c r="H48" s="214"/>
      <c r="I48" s="214"/>
    </row>
    <row r="49" spans="1:9" s="179" customFormat="1" ht="12.15" customHeight="1" x14ac:dyDescent="0.25">
      <c r="A49" s="11" t="s">
        <v>130</v>
      </c>
      <c r="B49" s="181" t="s">
        <v>475</v>
      </c>
      <c r="C49" s="277">
        <f t="shared" si="14"/>
        <v>0</v>
      </c>
      <c r="D49" s="246"/>
      <c r="E49" s="114"/>
      <c r="F49" s="214"/>
      <c r="G49" s="214"/>
      <c r="H49" s="214"/>
      <c r="I49" s="214"/>
    </row>
    <row r="50" spans="1:9" s="179" customFormat="1" ht="12.15" customHeight="1" x14ac:dyDescent="0.25">
      <c r="A50" s="11" t="s">
        <v>205</v>
      </c>
      <c r="B50" s="181" t="s">
        <v>215</v>
      </c>
      <c r="C50" s="277">
        <f t="shared" si="14"/>
        <v>0</v>
      </c>
      <c r="D50" s="246"/>
      <c r="E50" s="114"/>
      <c r="F50" s="214"/>
      <c r="G50" s="214"/>
      <c r="H50" s="214"/>
      <c r="I50" s="214"/>
    </row>
    <row r="51" spans="1:9" s="179" customFormat="1" ht="12.15" customHeight="1" x14ac:dyDescent="0.25">
      <c r="A51" s="13" t="s">
        <v>206</v>
      </c>
      <c r="B51" s="182" t="s">
        <v>388</v>
      </c>
      <c r="C51" s="277">
        <f t="shared" si="14"/>
        <v>0</v>
      </c>
      <c r="D51" s="249"/>
      <c r="E51" s="170"/>
      <c r="F51" s="214"/>
      <c r="G51" s="214"/>
      <c r="H51" s="214"/>
      <c r="I51" s="214"/>
    </row>
    <row r="52" spans="1:9" s="179" customFormat="1" ht="12.15" customHeight="1" thickBot="1" x14ac:dyDescent="0.3">
      <c r="A52" s="13" t="s">
        <v>389</v>
      </c>
      <c r="B52" s="107" t="s">
        <v>216</v>
      </c>
      <c r="C52" s="631">
        <f t="shared" si="14"/>
        <v>512000</v>
      </c>
      <c r="D52" s="249">
        <v>500000</v>
      </c>
      <c r="E52" s="170">
        <v>2000</v>
      </c>
      <c r="F52" s="214">
        <v>10000</v>
      </c>
      <c r="G52" s="214"/>
      <c r="H52" s="214"/>
      <c r="I52" s="214"/>
    </row>
    <row r="53" spans="1:9" s="179" customFormat="1" ht="12.15" customHeight="1" thickBot="1" x14ac:dyDescent="0.3">
      <c r="A53" s="17" t="s">
        <v>21</v>
      </c>
      <c r="B53" s="18" t="s">
        <v>217</v>
      </c>
      <c r="C53" s="110">
        <f t="shared" si="14"/>
        <v>20000000</v>
      </c>
      <c r="D53" s="255">
        <f t="shared" ref="D53:E53" si="15">SUM(D54:D58)</f>
        <v>20000000</v>
      </c>
      <c r="E53" s="110">
        <f t="shared" si="15"/>
        <v>0</v>
      </c>
      <c r="F53" s="110">
        <f t="shared" ref="F53:G53" si="16">SUM(F54:F58)</f>
        <v>0</v>
      </c>
      <c r="G53" s="110">
        <f t="shared" si="16"/>
        <v>0</v>
      </c>
      <c r="H53" s="110">
        <f t="shared" ref="H53:I53" si="17">SUM(H54:H58)</f>
        <v>0</v>
      </c>
      <c r="I53" s="110">
        <f t="shared" si="17"/>
        <v>0</v>
      </c>
    </row>
    <row r="54" spans="1:9" s="179" customFormat="1" ht="12.15" customHeight="1" x14ac:dyDescent="0.25">
      <c r="A54" s="12" t="s">
        <v>81</v>
      </c>
      <c r="B54" s="180" t="s">
        <v>221</v>
      </c>
      <c r="C54" s="176">
        <f t="shared" si="14"/>
        <v>0</v>
      </c>
      <c r="D54" s="639"/>
      <c r="E54" s="214"/>
      <c r="F54" s="214"/>
      <c r="G54" s="214"/>
      <c r="H54" s="214"/>
      <c r="I54" s="214"/>
    </row>
    <row r="55" spans="1:9" s="179" customFormat="1" ht="12.15" customHeight="1" x14ac:dyDescent="0.25">
      <c r="A55" s="11" t="s">
        <v>82</v>
      </c>
      <c r="B55" s="181" t="s">
        <v>222</v>
      </c>
      <c r="C55" s="277">
        <f t="shared" si="14"/>
        <v>20000000</v>
      </c>
      <c r="D55" s="246">
        <v>20000000</v>
      </c>
      <c r="E55" s="114"/>
      <c r="F55" s="114"/>
      <c r="G55" s="114"/>
      <c r="H55" s="114"/>
      <c r="I55" s="114"/>
    </row>
    <row r="56" spans="1:9" s="179" customFormat="1" ht="12.15" customHeight="1" x14ac:dyDescent="0.25">
      <c r="A56" s="11" t="s">
        <v>218</v>
      </c>
      <c r="B56" s="181" t="s">
        <v>223</v>
      </c>
      <c r="C56" s="277">
        <f t="shared" si="14"/>
        <v>0</v>
      </c>
      <c r="D56" s="246"/>
      <c r="E56" s="114"/>
      <c r="F56" s="114"/>
      <c r="G56" s="114"/>
      <c r="H56" s="114"/>
      <c r="I56" s="114"/>
    </row>
    <row r="57" spans="1:9" s="179" customFormat="1" ht="12.15" customHeight="1" x14ac:dyDescent="0.25">
      <c r="A57" s="11" t="s">
        <v>219</v>
      </c>
      <c r="B57" s="181" t="s">
        <v>224</v>
      </c>
      <c r="C57" s="277">
        <f t="shared" si="14"/>
        <v>0</v>
      </c>
      <c r="D57" s="246"/>
      <c r="E57" s="114"/>
      <c r="F57" s="114"/>
      <c r="G57" s="114"/>
      <c r="H57" s="114"/>
      <c r="I57" s="114"/>
    </row>
    <row r="58" spans="1:9" s="179" customFormat="1" ht="12.15" customHeight="1" thickBot="1" x14ac:dyDescent="0.3">
      <c r="A58" s="13" t="s">
        <v>220</v>
      </c>
      <c r="B58" s="107" t="s">
        <v>225</v>
      </c>
      <c r="C58" s="278">
        <f t="shared" si="14"/>
        <v>0</v>
      </c>
      <c r="D58" s="249"/>
      <c r="E58" s="170"/>
      <c r="F58" s="170"/>
      <c r="G58" s="170"/>
      <c r="H58" s="170"/>
      <c r="I58" s="170"/>
    </row>
    <row r="59" spans="1:9" s="179" customFormat="1" ht="12.15" customHeight="1" thickBot="1" x14ac:dyDescent="0.3">
      <c r="A59" s="17" t="s">
        <v>131</v>
      </c>
      <c r="B59" s="18" t="s">
        <v>226</v>
      </c>
      <c r="C59" s="110">
        <f t="shared" si="14"/>
        <v>50000</v>
      </c>
      <c r="D59" s="255">
        <f t="shared" ref="D59:E59" si="18">SUM(D60:D62)</f>
        <v>50000</v>
      </c>
      <c r="E59" s="110">
        <f t="shared" si="18"/>
        <v>0</v>
      </c>
      <c r="F59" s="110">
        <f t="shared" ref="F59:G59" si="19">SUM(F60:F62)</f>
        <v>0</v>
      </c>
      <c r="G59" s="110">
        <f t="shared" si="19"/>
        <v>0</v>
      </c>
      <c r="H59" s="110">
        <f t="shared" ref="H59:I59" si="20">SUM(H60:H62)</f>
        <v>0</v>
      </c>
      <c r="I59" s="110">
        <f t="shared" si="20"/>
        <v>0</v>
      </c>
    </row>
    <row r="60" spans="1:9" s="179" customFormat="1" ht="12.15" customHeight="1" x14ac:dyDescent="0.25">
      <c r="A60" s="12" t="s">
        <v>83</v>
      </c>
      <c r="B60" s="180" t="s">
        <v>227</v>
      </c>
      <c r="C60" s="273">
        <f t="shared" si="14"/>
        <v>50000</v>
      </c>
      <c r="D60" s="256">
        <v>50000</v>
      </c>
      <c r="E60" s="112"/>
      <c r="F60" s="214"/>
      <c r="G60" s="214"/>
      <c r="H60" s="214"/>
      <c r="I60" s="112"/>
    </row>
    <row r="61" spans="1:9" s="179" customFormat="1" ht="12.15" customHeight="1" x14ac:dyDescent="0.25">
      <c r="A61" s="11" t="s">
        <v>84</v>
      </c>
      <c r="B61" s="181" t="s">
        <v>356</v>
      </c>
      <c r="C61" s="274">
        <f t="shared" si="14"/>
        <v>0</v>
      </c>
      <c r="D61" s="246"/>
      <c r="E61" s="114"/>
      <c r="F61" s="114"/>
      <c r="G61" s="114"/>
      <c r="H61" s="114"/>
      <c r="I61" s="114"/>
    </row>
    <row r="62" spans="1:9" s="179" customFormat="1" ht="12.15" customHeight="1" x14ac:dyDescent="0.25">
      <c r="A62" s="11" t="s">
        <v>230</v>
      </c>
      <c r="B62" s="181" t="s">
        <v>228</v>
      </c>
      <c r="C62" s="628">
        <f t="shared" si="14"/>
        <v>0</v>
      </c>
      <c r="D62" s="246"/>
      <c r="E62" s="114"/>
      <c r="F62" s="114"/>
      <c r="G62" s="114"/>
      <c r="H62" s="114"/>
      <c r="I62" s="114"/>
    </row>
    <row r="63" spans="1:9" s="179" customFormat="1" ht="12.15" customHeight="1" thickBot="1" x14ac:dyDescent="0.3">
      <c r="A63" s="13" t="s">
        <v>231</v>
      </c>
      <c r="B63" s="107" t="s">
        <v>229</v>
      </c>
      <c r="C63" s="631">
        <f t="shared" si="14"/>
        <v>0</v>
      </c>
      <c r="D63" s="100"/>
      <c r="E63" s="113"/>
      <c r="F63" s="170"/>
      <c r="G63" s="170"/>
      <c r="H63" s="170"/>
      <c r="I63" s="113"/>
    </row>
    <row r="64" spans="1:9" s="179" customFormat="1" ht="12.15" customHeight="1" thickBot="1" x14ac:dyDescent="0.3">
      <c r="A64" s="17" t="s">
        <v>23</v>
      </c>
      <c r="B64" s="105" t="s">
        <v>232</v>
      </c>
      <c r="C64" s="279">
        <f t="shared" si="14"/>
        <v>0</v>
      </c>
      <c r="D64" s="255">
        <f t="shared" ref="D64:E64" si="21">SUM(D65:D67)</f>
        <v>0</v>
      </c>
      <c r="E64" s="110">
        <f t="shared" si="21"/>
        <v>0</v>
      </c>
      <c r="F64" s="110">
        <f t="shared" ref="F64:G64" si="22">SUM(F65:F67)</f>
        <v>0</v>
      </c>
      <c r="G64" s="110">
        <f t="shared" si="22"/>
        <v>0</v>
      </c>
      <c r="H64" s="110">
        <f t="shared" ref="H64:I64" si="23">SUM(H65:H67)</f>
        <v>0</v>
      </c>
      <c r="I64" s="110">
        <f t="shared" si="23"/>
        <v>0</v>
      </c>
    </row>
    <row r="65" spans="1:9" s="179" customFormat="1" ht="12.15" customHeight="1" x14ac:dyDescent="0.25">
      <c r="A65" s="12" t="s">
        <v>132</v>
      </c>
      <c r="B65" s="180" t="s">
        <v>234</v>
      </c>
      <c r="C65" s="176">
        <f t="shared" si="14"/>
        <v>0</v>
      </c>
      <c r="D65" s="246"/>
      <c r="E65" s="114"/>
      <c r="F65" s="114"/>
      <c r="G65" s="114"/>
      <c r="H65" s="114"/>
      <c r="I65" s="114"/>
    </row>
    <row r="66" spans="1:9" s="179" customFormat="1" ht="12.15" customHeight="1" x14ac:dyDescent="0.25">
      <c r="A66" s="11" t="s">
        <v>133</v>
      </c>
      <c r="B66" s="181" t="s">
        <v>357</v>
      </c>
      <c r="C66" s="277">
        <f t="shared" si="14"/>
        <v>0</v>
      </c>
      <c r="D66" s="246"/>
      <c r="E66" s="114"/>
      <c r="F66" s="114"/>
      <c r="G66" s="114"/>
      <c r="H66" s="114"/>
      <c r="I66" s="114"/>
    </row>
    <row r="67" spans="1:9" s="179" customFormat="1" ht="12.15" customHeight="1" x14ac:dyDescent="0.25">
      <c r="A67" s="11" t="s">
        <v>158</v>
      </c>
      <c r="B67" s="181" t="s">
        <v>235</v>
      </c>
      <c r="C67" s="274">
        <f t="shared" si="14"/>
        <v>0</v>
      </c>
      <c r="D67" s="246"/>
      <c r="E67" s="114"/>
      <c r="F67" s="114"/>
      <c r="G67" s="114"/>
      <c r="H67" s="114"/>
      <c r="I67" s="114"/>
    </row>
    <row r="68" spans="1:9" s="179" customFormat="1" ht="12.15" customHeight="1" thickBot="1" x14ac:dyDescent="0.3">
      <c r="A68" s="13" t="s">
        <v>233</v>
      </c>
      <c r="B68" s="107" t="s">
        <v>236</v>
      </c>
      <c r="C68" s="278">
        <f t="shared" si="14"/>
        <v>0</v>
      </c>
      <c r="D68" s="246"/>
      <c r="E68" s="114"/>
      <c r="F68" s="114"/>
      <c r="G68" s="114"/>
      <c r="H68" s="114"/>
      <c r="I68" s="114"/>
    </row>
    <row r="69" spans="1:9" s="179" customFormat="1" ht="12.15" customHeight="1" thickBot="1" x14ac:dyDescent="0.3">
      <c r="A69" s="233" t="s">
        <v>390</v>
      </c>
      <c r="B69" s="18" t="s">
        <v>237</v>
      </c>
      <c r="C69" s="110">
        <f t="shared" si="14"/>
        <v>3110808548</v>
      </c>
      <c r="D69" s="257">
        <f t="shared" ref="D69:I69" si="24">+D11+D20+D27+D34+D41+D53+D59+D64</f>
        <v>2994247946</v>
      </c>
      <c r="E69" s="115">
        <f t="shared" si="24"/>
        <v>66132861</v>
      </c>
      <c r="F69" s="115">
        <f t="shared" si="24"/>
        <v>10122756</v>
      </c>
      <c r="G69" s="115">
        <f t="shared" si="24"/>
        <v>25134400</v>
      </c>
      <c r="H69" s="115">
        <f t="shared" si="24"/>
        <v>1740585</v>
      </c>
      <c r="I69" s="115">
        <f t="shared" si="24"/>
        <v>13430000</v>
      </c>
    </row>
    <row r="70" spans="1:9" s="179" customFormat="1" ht="12.15" customHeight="1" thickBot="1" x14ac:dyDescent="0.3">
      <c r="A70" s="234" t="s">
        <v>238</v>
      </c>
      <c r="B70" s="105" t="s">
        <v>239</v>
      </c>
      <c r="C70" s="279">
        <f t="shared" si="14"/>
        <v>1100000000</v>
      </c>
      <c r="D70" s="255">
        <f t="shared" ref="D70:E70" si="25">SUM(D71:D73)</f>
        <v>1100000000</v>
      </c>
      <c r="E70" s="110">
        <f t="shared" si="25"/>
        <v>0</v>
      </c>
      <c r="F70" s="110">
        <f t="shared" ref="F70:G70" si="26">SUM(F71:F73)</f>
        <v>0</v>
      </c>
      <c r="G70" s="110">
        <f t="shared" si="26"/>
        <v>0</v>
      </c>
      <c r="H70" s="110">
        <f t="shared" ref="H70:I70" si="27">SUM(H71:H73)</f>
        <v>0</v>
      </c>
      <c r="I70" s="110">
        <f t="shared" si="27"/>
        <v>0</v>
      </c>
    </row>
    <row r="71" spans="1:9" s="179" customFormat="1" ht="12.15" customHeight="1" x14ac:dyDescent="0.25">
      <c r="A71" s="12" t="s">
        <v>270</v>
      </c>
      <c r="B71" s="180" t="s">
        <v>240</v>
      </c>
      <c r="C71" s="273">
        <f t="shared" si="14"/>
        <v>0</v>
      </c>
      <c r="D71" s="246"/>
      <c r="E71" s="114"/>
      <c r="F71" s="114"/>
      <c r="G71" s="114"/>
      <c r="H71" s="114"/>
      <c r="I71" s="114"/>
    </row>
    <row r="72" spans="1:9" s="179" customFormat="1" ht="12.15" customHeight="1" x14ac:dyDescent="0.25">
      <c r="A72" s="11" t="s">
        <v>279</v>
      </c>
      <c r="B72" s="181" t="s">
        <v>241</v>
      </c>
      <c r="C72" s="274">
        <f t="shared" si="14"/>
        <v>1100000000</v>
      </c>
      <c r="D72" s="246">
        <v>1100000000</v>
      </c>
      <c r="E72" s="114"/>
      <c r="F72" s="114"/>
      <c r="G72" s="114"/>
      <c r="H72" s="114"/>
      <c r="I72" s="114"/>
    </row>
    <row r="73" spans="1:9" s="179" customFormat="1" ht="12.15" customHeight="1" thickBot="1" x14ac:dyDescent="0.3">
      <c r="A73" s="13" t="s">
        <v>280</v>
      </c>
      <c r="B73" s="235" t="s">
        <v>391</v>
      </c>
      <c r="C73" s="278">
        <f t="shared" si="14"/>
        <v>0</v>
      </c>
      <c r="D73" s="246"/>
      <c r="E73" s="114"/>
      <c r="F73" s="114"/>
      <c r="G73" s="114"/>
      <c r="H73" s="114"/>
      <c r="I73" s="114"/>
    </row>
    <row r="74" spans="1:9" s="179" customFormat="1" ht="12.15" customHeight="1" thickBot="1" x14ac:dyDescent="0.3">
      <c r="A74" s="234" t="s">
        <v>243</v>
      </c>
      <c r="B74" s="105" t="s">
        <v>244</v>
      </c>
      <c r="C74" s="279">
        <f t="shared" si="14"/>
        <v>0</v>
      </c>
      <c r="D74" s="255">
        <f t="shared" ref="D74:E74" si="28">SUM(D75:D78)</f>
        <v>0</v>
      </c>
      <c r="E74" s="110">
        <f t="shared" si="28"/>
        <v>0</v>
      </c>
      <c r="F74" s="110">
        <f t="shared" ref="F74:G74" si="29">SUM(F75:F78)</f>
        <v>0</v>
      </c>
      <c r="G74" s="110">
        <f t="shared" si="29"/>
        <v>0</v>
      </c>
      <c r="H74" s="110">
        <f t="shared" ref="H74:I74" si="30">SUM(H75:H78)</f>
        <v>0</v>
      </c>
      <c r="I74" s="110">
        <f t="shared" si="30"/>
        <v>0</v>
      </c>
    </row>
    <row r="75" spans="1:9" s="179" customFormat="1" ht="12.15" customHeight="1" x14ac:dyDescent="0.25">
      <c r="A75" s="12" t="s">
        <v>112</v>
      </c>
      <c r="B75" s="180" t="s">
        <v>245</v>
      </c>
      <c r="C75" s="176">
        <f t="shared" ref="C75:C94" si="31">SUM(D75:I75)</f>
        <v>0</v>
      </c>
      <c r="D75" s="246"/>
      <c r="E75" s="114"/>
      <c r="F75" s="114"/>
      <c r="G75" s="114"/>
      <c r="H75" s="114"/>
      <c r="I75" s="114"/>
    </row>
    <row r="76" spans="1:9" s="179" customFormat="1" ht="12.15" customHeight="1" x14ac:dyDescent="0.25">
      <c r="A76" s="11" t="s">
        <v>113</v>
      </c>
      <c r="B76" s="181" t="s">
        <v>719</v>
      </c>
      <c r="C76" s="277">
        <f t="shared" si="31"/>
        <v>0</v>
      </c>
      <c r="D76" s="246"/>
      <c r="E76" s="114"/>
      <c r="F76" s="114"/>
      <c r="G76" s="114"/>
      <c r="H76" s="114"/>
      <c r="I76" s="114"/>
    </row>
    <row r="77" spans="1:9" s="179" customFormat="1" ht="12.15" customHeight="1" x14ac:dyDescent="0.25">
      <c r="A77" s="11" t="s">
        <v>271</v>
      </c>
      <c r="B77" s="181" t="s">
        <v>247</v>
      </c>
      <c r="C77" s="277">
        <f t="shared" si="31"/>
        <v>0</v>
      </c>
      <c r="D77" s="246"/>
      <c r="E77" s="114"/>
      <c r="F77" s="114"/>
      <c r="G77" s="114"/>
      <c r="H77" s="114"/>
      <c r="I77" s="114"/>
    </row>
    <row r="78" spans="1:9" s="179" customFormat="1" ht="12.15" customHeight="1" thickBot="1" x14ac:dyDescent="0.3">
      <c r="A78" s="13" t="s">
        <v>272</v>
      </c>
      <c r="B78" s="107" t="s">
        <v>720</v>
      </c>
      <c r="C78" s="278">
        <f t="shared" si="31"/>
        <v>0</v>
      </c>
      <c r="D78" s="246"/>
      <c r="E78" s="114"/>
      <c r="F78" s="114"/>
      <c r="G78" s="114"/>
      <c r="H78" s="114"/>
      <c r="I78" s="114"/>
    </row>
    <row r="79" spans="1:9" s="179" customFormat="1" ht="12.15" customHeight="1" thickBot="1" x14ac:dyDescent="0.3">
      <c r="A79" s="234" t="s">
        <v>249</v>
      </c>
      <c r="B79" s="105" t="s">
        <v>250</v>
      </c>
      <c r="C79" s="110">
        <f t="shared" si="31"/>
        <v>1447606655</v>
      </c>
      <c r="D79" s="255">
        <f t="shared" ref="D79:E79" si="32">SUM(D80:D81)</f>
        <v>1444475676</v>
      </c>
      <c r="E79" s="110">
        <f t="shared" si="32"/>
        <v>2347904</v>
      </c>
      <c r="F79" s="110">
        <f t="shared" ref="F79:G79" si="33">SUM(F80:F81)</f>
        <v>189372</v>
      </c>
      <c r="G79" s="110">
        <f t="shared" si="33"/>
        <v>291209</v>
      </c>
      <c r="H79" s="110">
        <f t="shared" ref="H79:I79" si="34">SUM(H80:H81)</f>
        <v>302494</v>
      </c>
      <c r="I79" s="110">
        <f t="shared" si="34"/>
        <v>0</v>
      </c>
    </row>
    <row r="80" spans="1:9" s="179" customFormat="1" ht="12.15" customHeight="1" x14ac:dyDescent="0.25">
      <c r="A80" s="12" t="s">
        <v>273</v>
      </c>
      <c r="B80" s="180" t="s">
        <v>251</v>
      </c>
      <c r="C80" s="1247">
        <f t="shared" si="31"/>
        <v>1447606655</v>
      </c>
      <c r="D80" s="246">
        <f>1453279019-8803343</f>
        <v>1444475676</v>
      </c>
      <c r="E80" s="114">
        <v>2347904</v>
      </c>
      <c r="F80" s="114">
        <v>189372</v>
      </c>
      <c r="G80" s="114">
        <v>291209</v>
      </c>
      <c r="H80" s="114">
        <v>302494</v>
      </c>
      <c r="I80" s="114"/>
    </row>
    <row r="81" spans="1:9" s="179" customFormat="1" ht="12.15" customHeight="1" thickBot="1" x14ac:dyDescent="0.3">
      <c r="A81" s="13" t="s">
        <v>274</v>
      </c>
      <c r="B81" s="107" t="s">
        <v>252</v>
      </c>
      <c r="C81" s="278">
        <f t="shared" si="31"/>
        <v>0</v>
      </c>
      <c r="D81" s="246"/>
      <c r="E81" s="114"/>
      <c r="F81" s="114"/>
      <c r="G81" s="114"/>
      <c r="H81" s="114"/>
      <c r="I81" s="114"/>
    </row>
    <row r="82" spans="1:9" s="179" customFormat="1" ht="12.15" customHeight="1" thickBot="1" x14ac:dyDescent="0.3">
      <c r="A82" s="234" t="s">
        <v>253</v>
      </c>
      <c r="B82" s="105" t="s">
        <v>254</v>
      </c>
      <c r="C82" s="279">
        <f t="shared" si="31"/>
        <v>67733205</v>
      </c>
      <c r="D82" s="255">
        <f t="shared" ref="D82:E82" si="35">SUM(D83:D85)</f>
        <v>67733205</v>
      </c>
      <c r="E82" s="110">
        <f t="shared" si="35"/>
        <v>0</v>
      </c>
      <c r="F82" s="110">
        <f t="shared" ref="F82:G82" si="36">SUM(F83:F85)</f>
        <v>0</v>
      </c>
      <c r="G82" s="110">
        <f t="shared" si="36"/>
        <v>0</v>
      </c>
      <c r="H82" s="110">
        <f t="shared" ref="H82:I82" si="37">SUM(H83:H85)</f>
        <v>0</v>
      </c>
      <c r="I82" s="110">
        <f t="shared" si="37"/>
        <v>0</v>
      </c>
    </row>
    <row r="83" spans="1:9" s="179" customFormat="1" ht="12.15" customHeight="1" x14ac:dyDescent="0.25">
      <c r="A83" s="12" t="s">
        <v>275</v>
      </c>
      <c r="B83" s="180" t="s">
        <v>255</v>
      </c>
      <c r="C83" s="273">
        <f t="shared" si="31"/>
        <v>67733205</v>
      </c>
      <c r="D83" s="246">
        <v>67733205</v>
      </c>
      <c r="E83" s="114"/>
      <c r="F83" s="114"/>
      <c r="G83" s="114"/>
      <c r="H83" s="114"/>
      <c r="I83" s="114"/>
    </row>
    <row r="84" spans="1:9" s="179" customFormat="1" ht="12.15" customHeight="1" x14ac:dyDescent="0.25">
      <c r="A84" s="11" t="s">
        <v>276</v>
      </c>
      <c r="B84" s="181" t="s">
        <v>256</v>
      </c>
      <c r="C84" s="277">
        <f t="shared" si="31"/>
        <v>0</v>
      </c>
      <c r="D84" s="246"/>
      <c r="E84" s="114"/>
      <c r="F84" s="114"/>
      <c r="G84" s="114"/>
      <c r="H84" s="114"/>
      <c r="I84" s="114"/>
    </row>
    <row r="85" spans="1:9" s="179" customFormat="1" ht="12.15" customHeight="1" thickBot="1" x14ac:dyDescent="0.3">
      <c r="A85" s="13" t="s">
        <v>277</v>
      </c>
      <c r="B85" s="107" t="s">
        <v>721</v>
      </c>
      <c r="C85" s="631">
        <f t="shared" si="31"/>
        <v>0</v>
      </c>
      <c r="D85" s="246"/>
      <c r="E85" s="114"/>
      <c r="F85" s="114"/>
      <c r="G85" s="114"/>
      <c r="H85" s="114"/>
      <c r="I85" s="114"/>
    </row>
    <row r="86" spans="1:9" s="179" customFormat="1" ht="12.15" customHeight="1" thickBot="1" x14ac:dyDescent="0.3">
      <c r="A86" s="234" t="s">
        <v>258</v>
      </c>
      <c r="B86" s="105" t="s">
        <v>278</v>
      </c>
      <c r="C86" s="279">
        <f t="shared" si="31"/>
        <v>0</v>
      </c>
      <c r="D86" s="255">
        <f t="shared" ref="D86:E86" si="38">SUM(D87:D90)</f>
        <v>0</v>
      </c>
      <c r="E86" s="110">
        <f t="shared" si="38"/>
        <v>0</v>
      </c>
      <c r="F86" s="110">
        <f t="shared" ref="F86:G86" si="39">SUM(F87:F90)</f>
        <v>0</v>
      </c>
      <c r="G86" s="110">
        <f t="shared" si="39"/>
        <v>0</v>
      </c>
      <c r="H86" s="110">
        <f t="shared" ref="H86:I86" si="40">SUM(H87:H90)</f>
        <v>0</v>
      </c>
      <c r="I86" s="110">
        <f t="shared" si="40"/>
        <v>0</v>
      </c>
    </row>
    <row r="87" spans="1:9" s="179" customFormat="1" ht="12.15" customHeight="1" x14ac:dyDescent="0.25">
      <c r="A87" s="184" t="s">
        <v>259</v>
      </c>
      <c r="B87" s="180" t="s">
        <v>260</v>
      </c>
      <c r="C87" s="176">
        <f t="shared" si="31"/>
        <v>0</v>
      </c>
      <c r="D87" s="246"/>
      <c r="E87" s="114"/>
      <c r="F87" s="114"/>
      <c r="G87" s="114"/>
      <c r="H87" s="114"/>
      <c r="I87" s="114"/>
    </row>
    <row r="88" spans="1:9" s="179" customFormat="1" ht="12.15" customHeight="1" x14ac:dyDescent="0.25">
      <c r="A88" s="185" t="s">
        <v>261</v>
      </c>
      <c r="B88" s="181" t="s">
        <v>262</v>
      </c>
      <c r="C88" s="277">
        <f t="shared" si="31"/>
        <v>0</v>
      </c>
      <c r="D88" s="246"/>
      <c r="E88" s="114"/>
      <c r="F88" s="114"/>
      <c r="G88" s="114"/>
      <c r="H88" s="114"/>
      <c r="I88" s="114"/>
    </row>
    <row r="89" spans="1:9" s="179" customFormat="1" ht="12.15" customHeight="1" x14ac:dyDescent="0.25">
      <c r="A89" s="185" t="s">
        <v>263</v>
      </c>
      <c r="B89" s="181" t="s">
        <v>264</v>
      </c>
      <c r="C89" s="277">
        <f t="shared" si="31"/>
        <v>0</v>
      </c>
      <c r="D89" s="246"/>
      <c r="E89" s="114"/>
      <c r="F89" s="114"/>
      <c r="G89" s="114"/>
      <c r="H89" s="114"/>
      <c r="I89" s="114"/>
    </row>
    <row r="90" spans="1:9" s="179" customFormat="1" ht="12.15" customHeight="1" thickBot="1" x14ac:dyDescent="0.3">
      <c r="A90" s="186" t="s">
        <v>265</v>
      </c>
      <c r="B90" s="107" t="s">
        <v>266</v>
      </c>
      <c r="C90" s="278">
        <f t="shared" si="31"/>
        <v>0</v>
      </c>
      <c r="D90" s="246"/>
      <c r="E90" s="114"/>
      <c r="F90" s="114"/>
      <c r="G90" s="114"/>
      <c r="H90" s="114"/>
      <c r="I90" s="114"/>
    </row>
    <row r="91" spans="1:9" s="179" customFormat="1" ht="12.15" customHeight="1" thickBot="1" x14ac:dyDescent="0.3">
      <c r="A91" s="234" t="s">
        <v>267</v>
      </c>
      <c r="B91" s="105" t="s">
        <v>392</v>
      </c>
      <c r="C91" s="306">
        <f t="shared" si="31"/>
        <v>0</v>
      </c>
      <c r="D91" s="258"/>
      <c r="E91" s="215"/>
      <c r="F91" s="215"/>
      <c r="G91" s="215"/>
      <c r="H91" s="215"/>
      <c r="I91" s="215"/>
    </row>
    <row r="92" spans="1:9" s="179" customFormat="1" ht="13.65" customHeight="1" thickBot="1" x14ac:dyDescent="0.3">
      <c r="A92" s="234" t="s">
        <v>269</v>
      </c>
      <c r="B92" s="105" t="s">
        <v>268</v>
      </c>
      <c r="C92" s="279">
        <f t="shared" si="31"/>
        <v>0</v>
      </c>
      <c r="D92" s="258"/>
      <c r="E92" s="215"/>
      <c r="F92" s="215"/>
      <c r="G92" s="215"/>
      <c r="H92" s="215"/>
      <c r="I92" s="215"/>
    </row>
    <row r="93" spans="1:9" s="179" customFormat="1" ht="15.75" customHeight="1" thickBot="1" x14ac:dyDescent="0.3">
      <c r="A93" s="234" t="s">
        <v>281</v>
      </c>
      <c r="B93" s="187" t="s">
        <v>393</v>
      </c>
      <c r="C93" s="110">
        <f t="shared" si="31"/>
        <v>2615339860</v>
      </c>
      <c r="D93" s="257">
        <f t="shared" ref="D93:I93" si="41">+D70+D74+D79+D82+D86+D92+D91</f>
        <v>2612208881</v>
      </c>
      <c r="E93" s="115">
        <f t="shared" si="41"/>
        <v>2347904</v>
      </c>
      <c r="F93" s="115">
        <f t="shared" si="41"/>
        <v>189372</v>
      </c>
      <c r="G93" s="115">
        <f t="shared" si="41"/>
        <v>291209</v>
      </c>
      <c r="H93" s="115">
        <f t="shared" si="41"/>
        <v>302494</v>
      </c>
      <c r="I93" s="115">
        <f t="shared" si="41"/>
        <v>0</v>
      </c>
    </row>
    <row r="94" spans="1:9" s="179" customFormat="1" ht="16.5" customHeight="1" thickBot="1" x14ac:dyDescent="0.3">
      <c r="A94" s="236" t="s">
        <v>394</v>
      </c>
      <c r="B94" s="188" t="s">
        <v>395</v>
      </c>
      <c r="C94" s="240">
        <f t="shared" si="31"/>
        <v>5726148408</v>
      </c>
      <c r="D94" s="257">
        <f t="shared" ref="D94:I94" si="42">+D69+D93</f>
        <v>5606456827</v>
      </c>
      <c r="E94" s="115">
        <f t="shared" si="42"/>
        <v>68480765</v>
      </c>
      <c r="F94" s="115">
        <f t="shared" si="42"/>
        <v>10312128</v>
      </c>
      <c r="G94" s="115">
        <f t="shared" si="42"/>
        <v>25425609</v>
      </c>
      <c r="H94" s="115">
        <f t="shared" si="42"/>
        <v>2043079</v>
      </c>
      <c r="I94" s="115">
        <f t="shared" si="42"/>
        <v>13430000</v>
      </c>
    </row>
    <row r="95" spans="1:9" ht="16.5" customHeight="1" x14ac:dyDescent="0.3">
      <c r="A95" s="1283" t="s">
        <v>44</v>
      </c>
      <c r="B95" s="1283"/>
      <c r="C95" s="1283"/>
      <c r="D95" s="281"/>
    </row>
    <row r="96" spans="1:9" ht="16.5" customHeight="1" thickBot="1" x14ac:dyDescent="0.35">
      <c r="A96" s="1284" t="s">
        <v>115</v>
      </c>
      <c r="B96" s="1284"/>
      <c r="C96" s="56" t="s">
        <v>483</v>
      </c>
    </row>
    <row r="97" spans="1:9" ht="38.1" customHeight="1" thickBot="1" x14ac:dyDescent="0.35">
      <c r="A97" s="20" t="s">
        <v>63</v>
      </c>
      <c r="B97" s="21" t="s">
        <v>45</v>
      </c>
      <c r="C97" s="29" t="str">
        <f>+C9</f>
        <v>2024. évi előirányzat</v>
      </c>
      <c r="D97" s="1075" t="str">
        <f t="shared" ref="D97:I97" si="43">D9</f>
        <v>Önk</v>
      </c>
      <c r="E97" s="1075" t="str">
        <f t="shared" si="43"/>
        <v>PH</v>
      </c>
      <c r="F97" s="1075" t="str">
        <f t="shared" si="43"/>
        <v>Óvoda</v>
      </c>
      <c r="G97" s="1075" t="str">
        <f t="shared" si="43"/>
        <v>EKIK</v>
      </c>
      <c r="H97" s="1075" t="str">
        <f t="shared" si="43"/>
        <v>Bölcsőde</v>
      </c>
      <c r="I97" s="1075" t="str">
        <f t="shared" si="43"/>
        <v>Kornisné</v>
      </c>
    </row>
    <row r="98" spans="1:9" s="178" customFormat="1" ht="12.15" customHeight="1" thickBot="1" x14ac:dyDescent="0.25">
      <c r="A98" s="25" t="s">
        <v>382</v>
      </c>
      <c r="B98" s="26" t="s">
        <v>383</v>
      </c>
      <c r="C98" s="175" t="s">
        <v>384</v>
      </c>
    </row>
    <row r="99" spans="1:9" ht="12.15" customHeight="1" thickBot="1" x14ac:dyDescent="0.35">
      <c r="A99" s="19" t="s">
        <v>16</v>
      </c>
      <c r="B99" s="23" t="s">
        <v>433</v>
      </c>
      <c r="C99" s="110">
        <f t="shared" ref="C99:C130" si="44">SUM(D99:I99)</f>
        <v>2581284721</v>
      </c>
      <c r="D99" s="261">
        <f>+D100+D101+D102+D103+D104+D117</f>
        <v>879152787</v>
      </c>
      <c r="E99" s="109">
        <f>+E100+E101+E102+E103+E104+E117</f>
        <v>395066963</v>
      </c>
      <c r="F99" s="265">
        <f>F100+F101+F102+F103+F104+F117</f>
        <v>587674566</v>
      </c>
      <c r="G99" s="265">
        <f>G100+G101+G102+G103+G104+G117</f>
        <v>250669923</v>
      </c>
      <c r="H99" s="265">
        <f>H100+H101+H102+H103+H104+H117</f>
        <v>194800799</v>
      </c>
      <c r="I99" s="265">
        <f>I100+I101+I102+I103+I104+I117</f>
        <v>273919683</v>
      </c>
    </row>
    <row r="100" spans="1:9" ht="12.15" customHeight="1" x14ac:dyDescent="0.3">
      <c r="A100" s="14" t="s">
        <v>85</v>
      </c>
      <c r="B100" s="7" t="s">
        <v>46</v>
      </c>
      <c r="C100" s="1247">
        <f t="shared" si="44"/>
        <v>975586622</v>
      </c>
      <c r="D100" s="640">
        <f>76096047+134737</f>
        <v>76230784</v>
      </c>
      <c r="E100" s="251">
        <v>46876996</v>
      </c>
      <c r="F100" s="251">
        <v>409187149</v>
      </c>
      <c r="G100" s="251">
        <v>102620682</v>
      </c>
      <c r="H100" s="251">
        <v>146096955</v>
      </c>
      <c r="I100" s="251">
        <v>194574056</v>
      </c>
    </row>
    <row r="101" spans="1:9" ht="12.15" customHeight="1" x14ac:dyDescent="0.3">
      <c r="A101" s="11" t="s">
        <v>86</v>
      </c>
      <c r="B101" s="5" t="s">
        <v>134</v>
      </c>
      <c r="C101" s="628">
        <f t="shared" si="44"/>
        <v>128963458</v>
      </c>
      <c r="D101" s="246">
        <f>9534077+17516</f>
        <v>9551593</v>
      </c>
      <c r="E101" s="114">
        <v>6145088</v>
      </c>
      <c r="F101" s="114">
        <v>51190551</v>
      </c>
      <c r="G101" s="114">
        <v>14528745</v>
      </c>
      <c r="H101" s="114">
        <v>19261474</v>
      </c>
      <c r="I101" s="114">
        <v>28286007</v>
      </c>
    </row>
    <row r="102" spans="1:9" ht="12.15" customHeight="1" x14ac:dyDescent="0.3">
      <c r="A102" s="11" t="s">
        <v>87</v>
      </c>
      <c r="B102" s="5" t="s">
        <v>110</v>
      </c>
      <c r="C102" s="628">
        <f t="shared" si="44"/>
        <v>1078084815</v>
      </c>
      <c r="D102" s="249">
        <f>396165606+49999-1494021</f>
        <v>394721584</v>
      </c>
      <c r="E102" s="170">
        <v>342044879</v>
      </c>
      <c r="F102" s="114">
        <v>127296866</v>
      </c>
      <c r="G102" s="114">
        <v>133519496</v>
      </c>
      <c r="H102" s="114">
        <v>29442370</v>
      </c>
      <c r="I102" s="114">
        <v>51059620</v>
      </c>
    </row>
    <row r="103" spans="1:9" ht="12.15" customHeight="1" x14ac:dyDescent="0.3">
      <c r="A103" s="11" t="s">
        <v>88</v>
      </c>
      <c r="B103" s="210" t="s">
        <v>135</v>
      </c>
      <c r="C103" s="274">
        <f t="shared" si="44"/>
        <v>48800000</v>
      </c>
      <c r="D103" s="249">
        <v>48800000</v>
      </c>
      <c r="E103" s="170"/>
      <c r="F103" s="170"/>
      <c r="G103" s="170"/>
      <c r="H103" s="170"/>
      <c r="I103" s="170"/>
    </row>
    <row r="104" spans="1:9" ht="12.15" customHeight="1" x14ac:dyDescent="0.3">
      <c r="A104" s="11" t="s">
        <v>99</v>
      </c>
      <c r="B104" s="4" t="s">
        <v>136</v>
      </c>
      <c r="C104" s="274">
        <f t="shared" si="44"/>
        <v>209461582</v>
      </c>
      <c r="D104" s="249">
        <f>SUM(D105:D116)</f>
        <v>209460582</v>
      </c>
      <c r="E104" s="249">
        <f>SUM(E105:E116)</f>
        <v>0</v>
      </c>
      <c r="F104" s="249">
        <f>SUM(F105:F116)</f>
        <v>0</v>
      </c>
      <c r="G104" s="249">
        <f>SUM(G105:G116)</f>
        <v>1000</v>
      </c>
      <c r="H104" s="249">
        <f t="shared" ref="H104" si="45">SUM(H105:H116)</f>
        <v>0</v>
      </c>
      <c r="I104" s="249">
        <f t="shared" ref="I104" si="46">SUM(I105:I116)</f>
        <v>0</v>
      </c>
    </row>
    <row r="105" spans="1:9" ht="12.15" customHeight="1" x14ac:dyDescent="0.3">
      <c r="A105" s="11" t="s">
        <v>89</v>
      </c>
      <c r="B105" s="5" t="s">
        <v>396</v>
      </c>
      <c r="C105" s="628">
        <f t="shared" si="44"/>
        <v>8730222</v>
      </c>
      <c r="D105" s="249">
        <v>8730222</v>
      </c>
      <c r="E105" s="170"/>
      <c r="F105" s="170"/>
      <c r="G105" s="170"/>
      <c r="H105" s="170"/>
      <c r="I105" s="170"/>
    </row>
    <row r="106" spans="1:9" ht="12.15" customHeight="1" x14ac:dyDescent="0.3">
      <c r="A106" s="11" t="s">
        <v>90</v>
      </c>
      <c r="B106" s="60" t="s">
        <v>397</v>
      </c>
      <c r="C106" s="274">
        <f t="shared" si="44"/>
        <v>41408678</v>
      </c>
      <c r="D106" s="249">
        <v>41408678</v>
      </c>
      <c r="E106" s="170"/>
      <c r="F106" s="170"/>
      <c r="G106" s="170"/>
      <c r="H106" s="170"/>
      <c r="I106" s="170"/>
    </row>
    <row r="107" spans="1:9" ht="12.15" customHeight="1" x14ac:dyDescent="0.3">
      <c r="A107" s="11" t="s">
        <v>100</v>
      </c>
      <c r="B107" s="60" t="s">
        <v>398</v>
      </c>
      <c r="C107" s="628">
        <f t="shared" si="44"/>
        <v>2275535</v>
      </c>
      <c r="D107" s="249">
        <v>2275535</v>
      </c>
      <c r="E107" s="170"/>
      <c r="F107" s="170"/>
      <c r="G107" s="170"/>
      <c r="H107" s="170"/>
      <c r="I107" s="170"/>
    </row>
    <row r="108" spans="1:9" ht="12.15" customHeight="1" x14ac:dyDescent="0.3">
      <c r="A108" s="11" t="s">
        <v>101</v>
      </c>
      <c r="B108" s="58" t="s">
        <v>284</v>
      </c>
      <c r="C108" s="274">
        <f t="shared" si="44"/>
        <v>0</v>
      </c>
      <c r="D108" s="249"/>
      <c r="E108" s="170"/>
      <c r="F108" s="170"/>
      <c r="G108" s="170"/>
      <c r="H108" s="170"/>
      <c r="I108" s="170"/>
    </row>
    <row r="109" spans="1:9" ht="12.15" customHeight="1" x14ac:dyDescent="0.3">
      <c r="A109" s="11" t="s">
        <v>102</v>
      </c>
      <c r="B109" s="59" t="s">
        <v>285</v>
      </c>
      <c r="C109" s="274">
        <f t="shared" si="44"/>
        <v>0</v>
      </c>
      <c r="D109" s="249"/>
      <c r="E109" s="170"/>
      <c r="F109" s="170"/>
      <c r="G109" s="170"/>
      <c r="H109" s="170"/>
      <c r="I109" s="170"/>
    </row>
    <row r="110" spans="1:9" ht="12.15" customHeight="1" x14ac:dyDescent="0.3">
      <c r="A110" s="11" t="s">
        <v>103</v>
      </c>
      <c r="B110" s="59" t="s">
        <v>286</v>
      </c>
      <c r="C110" s="274">
        <f t="shared" si="44"/>
        <v>0</v>
      </c>
      <c r="D110" s="249"/>
      <c r="E110" s="170"/>
      <c r="F110" s="170"/>
      <c r="G110" s="170"/>
      <c r="H110" s="170"/>
      <c r="I110" s="170"/>
    </row>
    <row r="111" spans="1:9" ht="12.15" customHeight="1" x14ac:dyDescent="0.3">
      <c r="A111" s="11" t="s">
        <v>105</v>
      </c>
      <c r="B111" s="58" t="s">
        <v>287</v>
      </c>
      <c r="C111" s="628">
        <f t="shared" si="44"/>
        <v>4172514</v>
      </c>
      <c r="D111" s="249">
        <f>1644313+2527201</f>
        <v>4171514</v>
      </c>
      <c r="E111" s="170"/>
      <c r="F111" s="170"/>
      <c r="G111" s="170">
        <v>1000</v>
      </c>
      <c r="H111" s="170"/>
      <c r="I111" s="170"/>
    </row>
    <row r="112" spans="1:9" ht="12.15" customHeight="1" x14ac:dyDescent="0.3">
      <c r="A112" s="11" t="s">
        <v>137</v>
      </c>
      <c r="B112" s="58" t="s">
        <v>288</v>
      </c>
      <c r="C112" s="274">
        <f t="shared" si="44"/>
        <v>0</v>
      </c>
      <c r="D112" s="249"/>
      <c r="E112" s="170"/>
      <c r="F112" s="170"/>
      <c r="G112" s="170"/>
      <c r="H112" s="170"/>
      <c r="I112" s="170"/>
    </row>
    <row r="113" spans="1:9" ht="12.15" customHeight="1" x14ac:dyDescent="0.3">
      <c r="A113" s="11" t="s">
        <v>282</v>
      </c>
      <c r="B113" s="59" t="s">
        <v>289</v>
      </c>
      <c r="C113" s="274">
        <f t="shared" si="44"/>
        <v>0</v>
      </c>
      <c r="D113" s="249"/>
      <c r="E113" s="170"/>
      <c r="F113" s="170"/>
      <c r="G113" s="170"/>
      <c r="H113" s="170"/>
      <c r="I113" s="170"/>
    </row>
    <row r="114" spans="1:9" ht="12.15" customHeight="1" x14ac:dyDescent="0.3">
      <c r="A114" s="10" t="s">
        <v>283</v>
      </c>
      <c r="B114" s="60" t="s">
        <v>290</v>
      </c>
      <c r="C114" s="274">
        <f t="shared" si="44"/>
        <v>0</v>
      </c>
      <c r="D114" s="249"/>
      <c r="E114" s="170"/>
      <c r="F114" s="170"/>
      <c r="G114" s="170"/>
      <c r="H114" s="170"/>
      <c r="I114" s="170"/>
    </row>
    <row r="115" spans="1:9" ht="12.15" customHeight="1" x14ac:dyDescent="0.3">
      <c r="A115" s="11" t="s">
        <v>399</v>
      </c>
      <c r="B115" s="60" t="s">
        <v>291</v>
      </c>
      <c r="C115" s="274">
        <f t="shared" si="44"/>
        <v>0</v>
      </c>
      <c r="D115" s="249"/>
      <c r="E115" s="170"/>
      <c r="F115" s="170"/>
      <c r="G115" s="170"/>
      <c r="H115" s="170"/>
      <c r="I115" s="170"/>
    </row>
    <row r="116" spans="1:9" ht="12.15" customHeight="1" x14ac:dyDescent="0.3">
      <c r="A116" s="13" t="s">
        <v>400</v>
      </c>
      <c r="B116" s="60" t="s">
        <v>292</v>
      </c>
      <c r="C116" s="274">
        <f t="shared" si="44"/>
        <v>152874633</v>
      </c>
      <c r="D116" s="246">
        <v>152874633</v>
      </c>
      <c r="E116" s="114"/>
      <c r="F116" s="170"/>
      <c r="G116" s="170"/>
      <c r="H116" s="170"/>
      <c r="I116" s="170"/>
    </row>
    <row r="117" spans="1:9" ht="12.15" customHeight="1" x14ac:dyDescent="0.3">
      <c r="A117" s="11" t="s">
        <v>401</v>
      </c>
      <c r="B117" s="5" t="s">
        <v>47</v>
      </c>
      <c r="C117" s="274">
        <f t="shared" si="44"/>
        <v>140388244</v>
      </c>
      <c r="D117" s="246">
        <f t="shared" ref="D117:E117" si="47">SUM(D118:D119)</f>
        <v>140388244</v>
      </c>
      <c r="E117" s="246">
        <f t="shared" si="47"/>
        <v>0</v>
      </c>
      <c r="F117" s="246">
        <f t="shared" ref="F117:G117" si="48">SUM(F118:F119)</f>
        <v>0</v>
      </c>
      <c r="G117" s="246">
        <f t="shared" si="48"/>
        <v>0</v>
      </c>
      <c r="H117" s="246">
        <f t="shared" ref="H117" si="49">SUM(H118:H119)</f>
        <v>0</v>
      </c>
      <c r="I117" s="246">
        <f t="shared" ref="I117" si="50">SUM(I118:I119)</f>
        <v>0</v>
      </c>
    </row>
    <row r="118" spans="1:9" ht="12.15" customHeight="1" x14ac:dyDescent="0.3">
      <c r="A118" s="11" t="s">
        <v>402</v>
      </c>
      <c r="B118" s="5" t="s">
        <v>403</v>
      </c>
      <c r="C118" s="628">
        <f t="shared" si="44"/>
        <v>18212136</v>
      </c>
      <c r="D118" s="249">
        <f>10000000+8212136</f>
        <v>18212136</v>
      </c>
      <c r="E118" s="170"/>
      <c r="F118" s="114"/>
      <c r="G118" s="114"/>
      <c r="H118" s="114"/>
      <c r="I118" s="114"/>
    </row>
    <row r="119" spans="1:9" ht="12.15" customHeight="1" thickBot="1" x14ac:dyDescent="0.35">
      <c r="A119" s="15" t="s">
        <v>404</v>
      </c>
      <c r="B119" s="237" t="s">
        <v>405</v>
      </c>
      <c r="C119" s="628">
        <f t="shared" si="44"/>
        <v>122176108</v>
      </c>
      <c r="D119" s="270">
        <f>132176108-10000000</f>
        <v>122176108</v>
      </c>
      <c r="E119" s="254"/>
      <c r="F119" s="254"/>
      <c r="G119" s="254"/>
      <c r="H119" s="254"/>
      <c r="I119" s="254"/>
    </row>
    <row r="120" spans="1:9" ht="12.15" customHeight="1" thickBot="1" x14ac:dyDescent="0.35">
      <c r="A120" s="238" t="s">
        <v>17</v>
      </c>
      <c r="B120" s="239" t="s">
        <v>293</v>
      </c>
      <c r="C120" s="110">
        <f t="shared" si="44"/>
        <v>1514852445</v>
      </c>
      <c r="D120" s="1249">
        <f t="shared" ref="D120:I120" si="51">+D121+D123+D125</f>
        <v>1504111781</v>
      </c>
      <c r="E120" s="110">
        <f t="shared" si="51"/>
        <v>63500</v>
      </c>
      <c r="F120" s="240">
        <f t="shared" si="51"/>
        <v>4074160</v>
      </c>
      <c r="G120" s="240">
        <f t="shared" si="51"/>
        <v>4253000</v>
      </c>
      <c r="H120" s="240">
        <f t="shared" si="51"/>
        <v>508000</v>
      </c>
      <c r="I120" s="240">
        <f t="shared" si="51"/>
        <v>1842004</v>
      </c>
    </row>
    <row r="121" spans="1:9" ht="18.75" customHeight="1" x14ac:dyDescent="0.3">
      <c r="A121" s="12" t="s">
        <v>91</v>
      </c>
      <c r="B121" s="5" t="s">
        <v>157</v>
      </c>
      <c r="C121" s="1247">
        <f t="shared" si="44"/>
        <v>484325957</v>
      </c>
      <c r="D121" s="639">
        <f>458792425+1300000+12122993+1369875</f>
        <v>473585293</v>
      </c>
      <c r="E121" s="214">
        <v>63500</v>
      </c>
      <c r="F121" s="214">
        <v>4074160</v>
      </c>
      <c r="G121" s="214">
        <v>4253000</v>
      </c>
      <c r="H121" s="214">
        <v>508000</v>
      </c>
      <c r="I121" s="214">
        <v>1842004</v>
      </c>
    </row>
    <row r="122" spans="1:9" ht="12.15" customHeight="1" x14ac:dyDescent="0.3">
      <c r="A122" s="12" t="s">
        <v>92</v>
      </c>
      <c r="B122" s="9" t="s">
        <v>297</v>
      </c>
      <c r="C122" s="1247">
        <f t="shared" si="44"/>
        <v>254520097</v>
      </c>
      <c r="D122" s="639">
        <f>241263068+12122993+1134036</f>
        <v>254520097</v>
      </c>
      <c r="E122" s="214"/>
      <c r="F122" s="214"/>
      <c r="G122" s="214"/>
      <c r="H122" s="214"/>
      <c r="I122" s="214"/>
    </row>
    <row r="123" spans="1:9" ht="12.15" customHeight="1" x14ac:dyDescent="0.3">
      <c r="A123" s="12" t="s">
        <v>93</v>
      </c>
      <c r="B123" s="9" t="s">
        <v>138</v>
      </c>
      <c r="C123" s="273">
        <f t="shared" si="44"/>
        <v>976239214</v>
      </c>
      <c r="D123" s="246">
        <v>976239214</v>
      </c>
      <c r="E123" s="114"/>
      <c r="F123" s="114"/>
      <c r="G123" s="114"/>
      <c r="H123" s="114"/>
      <c r="I123" s="114"/>
    </row>
    <row r="124" spans="1:9" ht="12.15" customHeight="1" x14ac:dyDescent="0.3">
      <c r="A124" s="12" t="s">
        <v>94</v>
      </c>
      <c r="B124" s="9" t="s">
        <v>298</v>
      </c>
      <c r="C124" s="273">
        <f t="shared" si="44"/>
        <v>605613240</v>
      </c>
      <c r="D124" s="246">
        <v>605613240</v>
      </c>
      <c r="E124" s="468"/>
      <c r="F124" s="246"/>
      <c r="G124" s="246"/>
      <c r="H124" s="246"/>
      <c r="I124" s="246"/>
    </row>
    <row r="125" spans="1:9" ht="12.15" customHeight="1" x14ac:dyDescent="0.3">
      <c r="A125" s="12" t="s">
        <v>95</v>
      </c>
      <c r="B125" s="107" t="s">
        <v>159</v>
      </c>
      <c r="C125" s="273">
        <f t="shared" si="44"/>
        <v>54287274</v>
      </c>
      <c r="D125" s="246">
        <f t="shared" ref="D125:E125" si="52">SUM(D126:D133)</f>
        <v>54287274</v>
      </c>
      <c r="E125" s="246">
        <f t="shared" si="52"/>
        <v>0</v>
      </c>
      <c r="F125" s="246">
        <f t="shared" ref="F125:G125" si="53">SUM(F126:F133)</f>
        <v>0</v>
      </c>
      <c r="G125" s="246">
        <f t="shared" si="53"/>
        <v>0</v>
      </c>
      <c r="H125" s="246">
        <f t="shared" ref="H125" si="54">SUM(H126:H133)</f>
        <v>0</v>
      </c>
      <c r="I125" s="246">
        <f t="shared" ref="I125" si="55">SUM(I126:I133)</f>
        <v>0</v>
      </c>
    </row>
    <row r="126" spans="1:9" ht="12.15" customHeight="1" x14ac:dyDescent="0.3">
      <c r="A126" s="12" t="s">
        <v>104</v>
      </c>
      <c r="B126" s="106" t="s">
        <v>358</v>
      </c>
      <c r="C126" s="273">
        <f t="shared" si="44"/>
        <v>0</v>
      </c>
      <c r="D126" s="99"/>
      <c r="E126" s="99"/>
      <c r="F126" s="246"/>
      <c r="G126" s="246"/>
      <c r="H126" s="246"/>
      <c r="I126" s="246"/>
    </row>
    <row r="127" spans="1:9" ht="12.15" customHeight="1" x14ac:dyDescent="0.3">
      <c r="A127" s="12" t="s">
        <v>106</v>
      </c>
      <c r="B127" s="177" t="s">
        <v>303</v>
      </c>
      <c r="C127" s="273">
        <f t="shared" si="44"/>
        <v>0</v>
      </c>
      <c r="D127" s="99"/>
      <c r="E127" s="99"/>
      <c r="F127" s="246"/>
      <c r="G127" s="246"/>
      <c r="H127" s="246"/>
      <c r="I127" s="246"/>
    </row>
    <row r="128" spans="1:9" x14ac:dyDescent="0.3">
      <c r="A128" s="12" t="s">
        <v>139</v>
      </c>
      <c r="B128" s="59" t="s">
        <v>286</v>
      </c>
      <c r="C128" s="273">
        <f t="shared" si="44"/>
        <v>0</v>
      </c>
      <c r="D128" s="99"/>
      <c r="E128" s="99"/>
      <c r="F128" s="246"/>
      <c r="G128" s="246"/>
      <c r="H128" s="246"/>
      <c r="I128" s="246"/>
    </row>
    <row r="129" spans="1:9" ht="12.15" customHeight="1" x14ac:dyDescent="0.3">
      <c r="A129" s="12" t="s">
        <v>140</v>
      </c>
      <c r="B129" s="59" t="s">
        <v>302</v>
      </c>
      <c r="C129" s="1247">
        <f t="shared" si="44"/>
        <v>51986182</v>
      </c>
      <c r="D129" s="99">
        <f>51985155+1027</f>
        <v>51986182</v>
      </c>
      <c r="E129" s="99"/>
      <c r="F129" s="246"/>
      <c r="G129" s="246"/>
      <c r="H129" s="246"/>
      <c r="I129" s="246"/>
    </row>
    <row r="130" spans="1:9" ht="12.15" customHeight="1" x14ac:dyDescent="0.3">
      <c r="A130" s="12" t="s">
        <v>141</v>
      </c>
      <c r="B130" s="59" t="s">
        <v>301</v>
      </c>
      <c r="C130" s="273">
        <f t="shared" si="44"/>
        <v>0</v>
      </c>
      <c r="D130" s="99"/>
      <c r="E130" s="99"/>
      <c r="F130" s="246"/>
      <c r="G130" s="246"/>
      <c r="H130" s="246"/>
      <c r="I130" s="246"/>
    </row>
    <row r="131" spans="1:9" ht="12.15" customHeight="1" x14ac:dyDescent="0.3">
      <c r="A131" s="12" t="s">
        <v>294</v>
      </c>
      <c r="B131" s="59" t="s">
        <v>289</v>
      </c>
      <c r="C131" s="176">
        <f t="shared" ref="C131:C160" si="56">SUM(D131:I131)</f>
        <v>0</v>
      </c>
      <c r="D131" s="99"/>
      <c r="E131" s="99"/>
      <c r="F131" s="246"/>
      <c r="G131" s="246"/>
      <c r="H131" s="246"/>
      <c r="I131" s="246"/>
    </row>
    <row r="132" spans="1:9" ht="12.15" customHeight="1" x14ac:dyDescent="0.3">
      <c r="A132" s="12" t="s">
        <v>295</v>
      </c>
      <c r="B132" s="59" t="s">
        <v>300</v>
      </c>
      <c r="C132" s="176">
        <f t="shared" si="56"/>
        <v>0</v>
      </c>
      <c r="D132" s="99"/>
      <c r="E132" s="99"/>
      <c r="F132" s="246"/>
      <c r="G132" s="246"/>
      <c r="H132" s="246"/>
      <c r="I132" s="246"/>
    </row>
    <row r="133" spans="1:9" ht="16.2" thickBot="1" x14ac:dyDescent="0.35">
      <c r="A133" s="10" t="s">
        <v>296</v>
      </c>
      <c r="B133" s="59" t="s">
        <v>299</v>
      </c>
      <c r="C133" s="273">
        <f t="shared" si="56"/>
        <v>2301092</v>
      </c>
      <c r="D133" s="249">
        <v>2301092</v>
      </c>
      <c r="E133" s="249"/>
      <c r="F133" s="249"/>
      <c r="G133" s="249"/>
      <c r="H133" s="249"/>
      <c r="I133" s="249"/>
    </row>
    <row r="134" spans="1:9" ht="12.15" customHeight="1" thickBot="1" x14ac:dyDescent="0.35">
      <c r="A134" s="17" t="s">
        <v>18</v>
      </c>
      <c r="B134" s="54" t="s">
        <v>406</v>
      </c>
      <c r="C134" s="110">
        <f t="shared" si="56"/>
        <v>4096137166</v>
      </c>
      <c r="D134" s="255">
        <f t="shared" ref="D134:I134" si="57">+D99+D120</f>
        <v>2383264568</v>
      </c>
      <c r="E134" s="110">
        <f t="shared" si="57"/>
        <v>395130463</v>
      </c>
      <c r="F134" s="110">
        <f t="shared" si="57"/>
        <v>591748726</v>
      </c>
      <c r="G134" s="110">
        <f t="shared" si="57"/>
        <v>254922923</v>
      </c>
      <c r="H134" s="110">
        <f t="shared" si="57"/>
        <v>195308799</v>
      </c>
      <c r="I134" s="110">
        <f t="shared" si="57"/>
        <v>275761687</v>
      </c>
    </row>
    <row r="135" spans="1:9" ht="12.15" customHeight="1" thickBot="1" x14ac:dyDescent="0.35">
      <c r="A135" s="17" t="s">
        <v>19</v>
      </c>
      <c r="B135" s="54" t="s">
        <v>407</v>
      </c>
      <c r="C135" s="279">
        <f t="shared" si="56"/>
        <v>1131434330</v>
      </c>
      <c r="D135" s="255">
        <f t="shared" ref="D135:I135" si="58">+D136+D137+D138</f>
        <v>1131434330</v>
      </c>
      <c r="E135" s="110">
        <f t="shared" si="58"/>
        <v>0</v>
      </c>
      <c r="F135" s="110">
        <f t="shared" si="58"/>
        <v>0</v>
      </c>
      <c r="G135" s="110">
        <f t="shared" si="58"/>
        <v>0</v>
      </c>
      <c r="H135" s="110">
        <f t="shared" si="58"/>
        <v>0</v>
      </c>
      <c r="I135" s="110">
        <f t="shared" si="58"/>
        <v>0</v>
      </c>
    </row>
    <row r="136" spans="1:9" ht="12.15" customHeight="1" x14ac:dyDescent="0.3">
      <c r="A136" s="12" t="s">
        <v>195</v>
      </c>
      <c r="B136" s="9" t="s">
        <v>408</v>
      </c>
      <c r="C136" s="176">
        <f t="shared" si="56"/>
        <v>31434330</v>
      </c>
      <c r="D136" s="246">
        <v>31434330</v>
      </c>
      <c r="E136" s="246"/>
      <c r="F136" s="246"/>
      <c r="G136" s="246"/>
      <c r="H136" s="246"/>
      <c r="I136" s="246"/>
    </row>
    <row r="137" spans="1:9" ht="12.15" customHeight="1" x14ac:dyDescent="0.3">
      <c r="A137" s="12" t="s">
        <v>198</v>
      </c>
      <c r="B137" s="9" t="s">
        <v>409</v>
      </c>
      <c r="C137" s="274">
        <f t="shared" si="56"/>
        <v>1100000000</v>
      </c>
      <c r="D137" s="246">
        <v>1100000000</v>
      </c>
      <c r="E137" s="99"/>
      <c r="F137" s="246"/>
      <c r="G137" s="246"/>
      <c r="H137" s="246"/>
      <c r="I137" s="99"/>
    </row>
    <row r="138" spans="1:9" ht="12.15" customHeight="1" thickBot="1" x14ac:dyDescent="0.35">
      <c r="A138" s="10" t="s">
        <v>199</v>
      </c>
      <c r="B138" s="9" t="s">
        <v>410</v>
      </c>
      <c r="C138" s="278">
        <f t="shared" si="56"/>
        <v>0</v>
      </c>
      <c r="D138" s="99"/>
      <c r="E138" s="99"/>
      <c r="F138" s="246"/>
      <c r="G138" s="246"/>
      <c r="H138" s="246"/>
      <c r="I138" s="99"/>
    </row>
    <row r="139" spans="1:9" ht="12.15" customHeight="1" thickBot="1" x14ac:dyDescent="0.35">
      <c r="A139" s="17" t="s">
        <v>20</v>
      </c>
      <c r="B139" s="54" t="s">
        <v>411</v>
      </c>
      <c r="C139" s="279">
        <f t="shared" si="56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.15" customHeight="1" x14ac:dyDescent="0.3">
      <c r="A140" s="12" t="s">
        <v>78</v>
      </c>
      <c r="B140" s="6" t="s">
        <v>412</v>
      </c>
      <c r="C140" s="176">
        <f t="shared" si="56"/>
        <v>0</v>
      </c>
      <c r="D140" s="99"/>
      <c r="E140" s="99"/>
      <c r="F140" s="99"/>
      <c r="G140" s="99"/>
      <c r="H140" s="99"/>
      <c r="I140" s="99"/>
    </row>
    <row r="141" spans="1:9" ht="12.15" customHeight="1" x14ac:dyDescent="0.3">
      <c r="A141" s="12" t="s">
        <v>79</v>
      </c>
      <c r="B141" s="6" t="s">
        <v>413</v>
      </c>
      <c r="C141" s="277">
        <f t="shared" si="56"/>
        <v>0</v>
      </c>
      <c r="D141" s="99"/>
      <c r="E141" s="99"/>
      <c r="F141" s="99"/>
      <c r="G141" s="99"/>
      <c r="H141" s="99"/>
      <c r="I141" s="99"/>
    </row>
    <row r="142" spans="1:9" ht="12.15" customHeight="1" x14ac:dyDescent="0.3">
      <c r="A142" s="12" t="s">
        <v>80</v>
      </c>
      <c r="B142" s="6" t="s">
        <v>414</v>
      </c>
      <c r="C142" s="277">
        <f t="shared" si="56"/>
        <v>0</v>
      </c>
      <c r="D142" s="99"/>
      <c r="E142" s="99"/>
      <c r="F142" s="99"/>
      <c r="G142" s="99"/>
      <c r="H142" s="99"/>
      <c r="I142" s="99"/>
    </row>
    <row r="143" spans="1:9" ht="12.15" customHeight="1" x14ac:dyDescent="0.3">
      <c r="A143" s="12" t="s">
        <v>126</v>
      </c>
      <c r="B143" s="6" t="s">
        <v>415</v>
      </c>
      <c r="C143" s="277">
        <f t="shared" si="56"/>
        <v>0</v>
      </c>
      <c r="D143" s="99"/>
      <c r="E143" s="99"/>
      <c r="F143" s="99"/>
      <c r="G143" s="99"/>
      <c r="H143" s="99"/>
      <c r="I143" s="99"/>
    </row>
    <row r="144" spans="1:9" ht="12.15" customHeight="1" x14ac:dyDescent="0.3">
      <c r="A144" s="12" t="s">
        <v>127</v>
      </c>
      <c r="B144" s="6" t="s">
        <v>416</v>
      </c>
      <c r="C144" s="277">
        <f t="shared" si="56"/>
        <v>0</v>
      </c>
      <c r="D144" s="99"/>
      <c r="E144" s="99"/>
      <c r="F144" s="99"/>
      <c r="G144" s="99"/>
      <c r="H144" s="99"/>
      <c r="I144" s="99"/>
    </row>
    <row r="145" spans="1:12" ht="12.15" customHeight="1" thickBot="1" x14ac:dyDescent="0.35">
      <c r="A145" s="10" t="s">
        <v>128</v>
      </c>
      <c r="B145" s="6" t="s">
        <v>417</v>
      </c>
      <c r="C145" s="278">
        <f t="shared" si="56"/>
        <v>0</v>
      </c>
      <c r="D145" s="99"/>
      <c r="E145" s="99"/>
      <c r="F145" s="99"/>
      <c r="G145" s="99"/>
      <c r="H145" s="99"/>
      <c r="I145" s="99"/>
    </row>
    <row r="146" spans="1:12" ht="12.15" customHeight="1" thickBot="1" x14ac:dyDescent="0.35">
      <c r="A146" s="17" t="s">
        <v>21</v>
      </c>
      <c r="B146" s="54" t="s">
        <v>418</v>
      </c>
      <c r="C146" s="110">
        <f t="shared" si="56"/>
        <v>67733205</v>
      </c>
      <c r="D146" s="257">
        <f t="shared" ref="D146:I146" si="59">+D147+D148+D149+D150</f>
        <v>67733205</v>
      </c>
      <c r="E146" s="115">
        <f t="shared" si="59"/>
        <v>0</v>
      </c>
      <c r="F146" s="115">
        <f t="shared" si="59"/>
        <v>0</v>
      </c>
      <c r="G146" s="115">
        <f t="shared" si="59"/>
        <v>0</v>
      </c>
      <c r="H146" s="115">
        <f t="shared" si="59"/>
        <v>0</v>
      </c>
      <c r="I146" s="115">
        <f t="shared" si="59"/>
        <v>0</v>
      </c>
    </row>
    <row r="147" spans="1:12" ht="12.15" customHeight="1" x14ac:dyDescent="0.3">
      <c r="A147" s="12" t="s">
        <v>81</v>
      </c>
      <c r="B147" s="6" t="s">
        <v>304</v>
      </c>
      <c r="C147" s="176">
        <f t="shared" si="56"/>
        <v>0</v>
      </c>
      <c r="D147" s="99"/>
      <c r="E147" s="99"/>
      <c r="F147" s="246"/>
      <c r="G147" s="246"/>
      <c r="H147" s="246"/>
      <c r="I147" s="99"/>
    </row>
    <row r="148" spans="1:12" ht="12.15" customHeight="1" x14ac:dyDescent="0.3">
      <c r="A148" s="12" t="s">
        <v>82</v>
      </c>
      <c r="B148" s="6" t="s">
        <v>305</v>
      </c>
      <c r="C148" s="274">
        <f t="shared" si="56"/>
        <v>67733205</v>
      </c>
      <c r="D148" s="99">
        <v>67733205</v>
      </c>
      <c r="E148" s="99"/>
      <c r="F148" s="246"/>
      <c r="G148" s="246"/>
      <c r="H148" s="246"/>
      <c r="I148" s="99"/>
    </row>
    <row r="149" spans="1:12" ht="12.15" customHeight="1" x14ac:dyDescent="0.3">
      <c r="A149" s="12" t="s">
        <v>218</v>
      </c>
      <c r="B149" s="6" t="s">
        <v>419</v>
      </c>
      <c r="C149" s="277">
        <f t="shared" si="56"/>
        <v>0</v>
      </c>
      <c r="D149" s="99"/>
      <c r="E149" s="99"/>
      <c r="F149" s="246"/>
      <c r="G149" s="246"/>
      <c r="H149" s="246"/>
      <c r="I149" s="99"/>
    </row>
    <row r="150" spans="1:12" ht="12.15" customHeight="1" thickBot="1" x14ac:dyDescent="0.35">
      <c r="A150" s="10" t="s">
        <v>219</v>
      </c>
      <c r="B150" s="4" t="s">
        <v>323</v>
      </c>
      <c r="C150" s="278">
        <f t="shared" si="56"/>
        <v>0</v>
      </c>
      <c r="D150" s="99"/>
      <c r="E150" s="99"/>
      <c r="F150" s="246"/>
      <c r="G150" s="246"/>
      <c r="H150" s="246"/>
      <c r="I150" s="99"/>
    </row>
    <row r="151" spans="1:12" ht="12.15" customHeight="1" thickBot="1" x14ac:dyDescent="0.35">
      <c r="A151" s="17" t="s">
        <v>22</v>
      </c>
      <c r="B151" s="54" t="s">
        <v>420</v>
      </c>
      <c r="C151" s="279">
        <f t="shared" si="56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.15" customHeight="1" x14ac:dyDescent="0.3">
      <c r="A152" s="12" t="s">
        <v>83</v>
      </c>
      <c r="B152" s="6" t="s">
        <v>421</v>
      </c>
      <c r="C152" s="176">
        <f t="shared" si="56"/>
        <v>0</v>
      </c>
      <c r="D152" s="99"/>
      <c r="E152" s="99"/>
      <c r="F152" s="99"/>
      <c r="G152" s="99"/>
      <c r="H152" s="99"/>
      <c r="I152" s="99"/>
    </row>
    <row r="153" spans="1:12" ht="12.15" customHeight="1" x14ac:dyDescent="0.3">
      <c r="A153" s="12" t="s">
        <v>84</v>
      </c>
      <c r="B153" s="6" t="s">
        <v>422</v>
      </c>
      <c r="C153" s="277">
        <f t="shared" si="56"/>
        <v>0</v>
      </c>
      <c r="D153" s="99"/>
      <c r="E153" s="99"/>
      <c r="F153" s="99"/>
      <c r="G153" s="99"/>
      <c r="H153" s="99"/>
      <c r="I153" s="99"/>
    </row>
    <row r="154" spans="1:12" ht="12.15" customHeight="1" x14ac:dyDescent="0.3">
      <c r="A154" s="12" t="s">
        <v>230</v>
      </c>
      <c r="B154" s="6" t="s">
        <v>423</v>
      </c>
      <c r="C154" s="277">
        <f t="shared" si="56"/>
        <v>0</v>
      </c>
      <c r="D154" s="99"/>
      <c r="E154" s="99"/>
      <c r="F154" s="99"/>
      <c r="G154" s="99"/>
      <c r="H154" s="99"/>
      <c r="I154" s="99"/>
    </row>
    <row r="155" spans="1:12" ht="12.15" customHeight="1" x14ac:dyDescent="0.3">
      <c r="A155" s="12" t="s">
        <v>231</v>
      </c>
      <c r="B155" s="6" t="s">
        <v>424</v>
      </c>
      <c r="C155" s="277">
        <f t="shared" si="56"/>
        <v>0</v>
      </c>
      <c r="D155" s="99"/>
      <c r="E155" s="99"/>
      <c r="F155" s="99"/>
      <c r="G155" s="99"/>
      <c r="H155" s="99"/>
      <c r="I155" s="99"/>
    </row>
    <row r="156" spans="1:12" ht="12.15" customHeight="1" thickBot="1" x14ac:dyDescent="0.35">
      <c r="A156" s="12" t="s">
        <v>425</v>
      </c>
      <c r="B156" s="6" t="s">
        <v>426</v>
      </c>
      <c r="C156" s="278">
        <f t="shared" si="56"/>
        <v>0</v>
      </c>
      <c r="D156" s="100"/>
      <c r="E156" s="100"/>
      <c r="F156" s="99"/>
      <c r="G156" s="99"/>
      <c r="H156" s="99"/>
      <c r="I156" s="99"/>
    </row>
    <row r="157" spans="1:12" ht="12.15" customHeight="1" thickBot="1" x14ac:dyDescent="0.35">
      <c r="A157" s="17" t="s">
        <v>23</v>
      </c>
      <c r="B157" s="54" t="s">
        <v>427</v>
      </c>
      <c r="C157" s="110">
        <f t="shared" si="56"/>
        <v>0</v>
      </c>
      <c r="D157" s="262"/>
      <c r="E157" s="118"/>
      <c r="F157" s="241"/>
      <c r="G157" s="241"/>
      <c r="H157" s="241"/>
      <c r="I157" s="241"/>
    </row>
    <row r="158" spans="1:12" ht="12.15" customHeight="1" thickBot="1" x14ac:dyDescent="0.35">
      <c r="A158" s="17" t="s">
        <v>24</v>
      </c>
      <c r="B158" s="54" t="s">
        <v>428</v>
      </c>
      <c r="C158" s="109">
        <f t="shared" si="56"/>
        <v>0</v>
      </c>
      <c r="D158" s="262"/>
      <c r="E158" s="118"/>
      <c r="F158" s="241"/>
      <c r="G158" s="241"/>
      <c r="H158" s="241"/>
      <c r="I158" s="241"/>
    </row>
    <row r="159" spans="1:12" ht="15" customHeight="1" thickBot="1" x14ac:dyDescent="0.35">
      <c r="A159" s="17" t="s">
        <v>25</v>
      </c>
      <c r="B159" s="54" t="s">
        <v>429</v>
      </c>
      <c r="C159" s="109">
        <f t="shared" si="56"/>
        <v>1199167535</v>
      </c>
      <c r="D159" s="263">
        <f t="shared" ref="D159:I159" si="60">+D135+D139+D146+D151+D157+D158</f>
        <v>1199167535</v>
      </c>
      <c r="E159" s="189">
        <f t="shared" si="60"/>
        <v>0</v>
      </c>
      <c r="F159" s="189">
        <f t="shared" si="60"/>
        <v>0</v>
      </c>
      <c r="G159" s="189">
        <f t="shared" si="60"/>
        <v>0</v>
      </c>
      <c r="H159" s="189">
        <f t="shared" si="60"/>
        <v>0</v>
      </c>
      <c r="I159" s="189">
        <f t="shared" si="60"/>
        <v>0</v>
      </c>
      <c r="J159" s="190"/>
      <c r="K159" s="190"/>
      <c r="L159" s="190"/>
    </row>
    <row r="160" spans="1:12" s="179" customFormat="1" ht="12.9" customHeight="1" thickBot="1" x14ac:dyDescent="0.3">
      <c r="A160" s="108" t="s">
        <v>26</v>
      </c>
      <c r="B160" s="166" t="s">
        <v>430</v>
      </c>
      <c r="C160" s="110">
        <f t="shared" si="56"/>
        <v>5295304701</v>
      </c>
      <c r="D160" s="263">
        <f t="shared" ref="D160:I160" si="61">+D134+D159</f>
        <v>3582432103</v>
      </c>
      <c r="E160" s="189">
        <f t="shared" si="61"/>
        <v>395130463</v>
      </c>
      <c r="F160" s="189">
        <f t="shared" si="61"/>
        <v>591748726</v>
      </c>
      <c r="G160" s="189">
        <f t="shared" si="61"/>
        <v>254922923</v>
      </c>
      <c r="H160" s="189">
        <f t="shared" si="61"/>
        <v>195308799</v>
      </c>
      <c r="I160" s="189">
        <f t="shared" si="61"/>
        <v>275761687</v>
      </c>
    </row>
    <row r="161" spans="1:9" x14ac:dyDescent="0.3">
      <c r="A161" s="1279" t="s">
        <v>306</v>
      </c>
      <c r="B161" s="1279"/>
      <c r="C161" s="1279"/>
    </row>
    <row r="162" spans="1:9" ht="9.75" customHeight="1" thickBot="1" x14ac:dyDescent="0.35">
      <c r="A162" s="1282" t="s">
        <v>116</v>
      </c>
      <c r="B162" s="1282"/>
      <c r="C162" s="119" t="s">
        <v>483</v>
      </c>
    </row>
    <row r="163" spans="1:9" ht="21.15" customHeight="1" thickBot="1" x14ac:dyDescent="0.35">
      <c r="A163" s="17">
        <v>1</v>
      </c>
      <c r="B163" s="22" t="s">
        <v>431</v>
      </c>
      <c r="C163" s="110">
        <f>+C69-C134</f>
        <v>-985328618</v>
      </c>
    </row>
    <row r="164" spans="1:9" ht="16.2" thickBot="1" x14ac:dyDescent="0.35">
      <c r="A164" s="17" t="s">
        <v>17</v>
      </c>
      <c r="B164" s="22" t="s">
        <v>692</v>
      </c>
      <c r="C164" s="110">
        <f>+C93-C159</f>
        <v>1416172325</v>
      </c>
    </row>
    <row r="165" spans="1:9" x14ac:dyDescent="0.3">
      <c r="I165" s="281"/>
    </row>
    <row r="168" spans="1:9" x14ac:dyDescent="0.3">
      <c r="D168" s="1048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A2" sqref="A2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3" ht="12.75" customHeight="1" x14ac:dyDescent="0.25">
      <c r="A1" s="1340" t="str">
        <f>CONCATENATE("18. melléklet"," ",ALAPADATOK!A7," ",ALAPADATOK!B7," ",ALAPADATOK!C7," ",ALAPADATOK!D7," ",ALAPADATOK!E7," ",ALAPADATOK!F7," ",ALAPADATOK!G7," ",ALAPADATOK!H7)</f>
        <v>18. melléklet a …. / 2024. ( .... ) önkormányzati rendelethez</v>
      </c>
      <c r="B1" s="1340"/>
      <c r="C1" s="1340"/>
    </row>
    <row r="2" spans="1:3" s="1" customFormat="1" ht="21.15" customHeight="1" x14ac:dyDescent="0.25">
      <c r="A2" s="75"/>
      <c r="B2" s="76"/>
      <c r="C2" s="307"/>
    </row>
    <row r="3" spans="1:3" s="37" customFormat="1" ht="35.4" customHeight="1" thickBot="1" x14ac:dyDescent="0.3">
      <c r="A3" s="1290" t="s">
        <v>854</v>
      </c>
      <c r="B3" s="1290"/>
      <c r="C3" s="1290"/>
    </row>
    <row r="4" spans="1:3" ht="13.8" thickBot="1" x14ac:dyDescent="0.3">
      <c r="A4" s="172" t="s">
        <v>153</v>
      </c>
      <c r="B4" s="79" t="s">
        <v>50</v>
      </c>
      <c r="C4" s="311" t="s">
        <v>845</v>
      </c>
    </row>
    <row r="5" spans="1:3" s="32" customFormat="1" ht="12.9" customHeight="1" thickBot="1" x14ac:dyDescent="0.3">
      <c r="A5" s="71" t="s">
        <v>382</v>
      </c>
      <c r="B5" s="72" t="s">
        <v>383</v>
      </c>
      <c r="C5" s="312" t="s">
        <v>384</v>
      </c>
    </row>
    <row r="6" spans="1:3" s="32" customFormat="1" ht="15.9" customHeight="1" thickBot="1" x14ac:dyDescent="0.3">
      <c r="A6" s="81"/>
      <c r="B6" s="82" t="s">
        <v>52</v>
      </c>
      <c r="C6" s="313"/>
    </row>
    <row r="7" spans="1:3" s="38" customFormat="1" ht="12.15" customHeight="1" thickBot="1" x14ac:dyDescent="0.3">
      <c r="A7" s="71" t="s">
        <v>16</v>
      </c>
      <c r="B7" s="84" t="s">
        <v>458</v>
      </c>
      <c r="C7" s="502">
        <f>SUM(C8:C18)</f>
        <v>13430000</v>
      </c>
    </row>
    <row r="8" spans="1:3" s="38" customFormat="1" ht="12.15" customHeight="1" x14ac:dyDescent="0.25">
      <c r="A8" s="206" t="s">
        <v>85</v>
      </c>
      <c r="B8" s="7" t="s">
        <v>207</v>
      </c>
      <c r="C8" s="503"/>
    </row>
    <row r="9" spans="1:3" s="38" customFormat="1" ht="12.15" customHeight="1" x14ac:dyDescent="0.25">
      <c r="A9" s="207" t="s">
        <v>86</v>
      </c>
      <c r="B9" s="5" t="s">
        <v>208</v>
      </c>
      <c r="C9" s="504">
        <v>10574803</v>
      </c>
    </row>
    <row r="10" spans="1:3" s="38" customFormat="1" ht="12.15" customHeight="1" x14ac:dyDescent="0.25">
      <c r="A10" s="207" t="s">
        <v>87</v>
      </c>
      <c r="B10" s="5" t="s">
        <v>209</v>
      </c>
      <c r="C10" s="504"/>
    </row>
    <row r="11" spans="1:3" s="38" customFormat="1" ht="12.15" customHeight="1" x14ac:dyDescent="0.25">
      <c r="A11" s="207" t="s">
        <v>88</v>
      </c>
      <c r="B11" s="5" t="s">
        <v>210</v>
      </c>
      <c r="C11" s="504"/>
    </row>
    <row r="12" spans="1:3" s="38" customFormat="1" ht="12.15" customHeight="1" x14ac:dyDescent="0.25">
      <c r="A12" s="207" t="s">
        <v>111</v>
      </c>
      <c r="B12" s="5" t="s">
        <v>211</v>
      </c>
      <c r="C12" s="504"/>
    </row>
    <row r="13" spans="1:3" s="38" customFormat="1" ht="12.15" customHeight="1" x14ac:dyDescent="0.25">
      <c r="A13" s="207" t="s">
        <v>89</v>
      </c>
      <c r="B13" s="5" t="s">
        <v>331</v>
      </c>
      <c r="C13" s="504">
        <v>2855197</v>
      </c>
    </row>
    <row r="14" spans="1:3" s="38" customFormat="1" ht="12.15" customHeight="1" x14ac:dyDescent="0.25">
      <c r="A14" s="207" t="s">
        <v>90</v>
      </c>
      <c r="B14" s="4" t="s">
        <v>332</v>
      </c>
      <c r="C14" s="36"/>
    </row>
    <row r="15" spans="1:3" s="38" customFormat="1" ht="12.15" customHeight="1" x14ac:dyDescent="0.25">
      <c r="A15" s="207" t="s">
        <v>100</v>
      </c>
      <c r="B15" s="5" t="s">
        <v>214</v>
      </c>
      <c r="C15" s="505"/>
    </row>
    <row r="16" spans="1:3" s="39" customFormat="1" ht="12.15" customHeight="1" x14ac:dyDescent="0.25">
      <c r="A16" s="207" t="s">
        <v>101</v>
      </c>
      <c r="B16" s="5" t="s">
        <v>215</v>
      </c>
      <c r="C16" s="504"/>
    </row>
    <row r="17" spans="1:3" s="39" customFormat="1" ht="12.15" customHeight="1" x14ac:dyDescent="0.25">
      <c r="A17" s="207" t="s">
        <v>102</v>
      </c>
      <c r="B17" s="5" t="s">
        <v>388</v>
      </c>
      <c r="C17" s="506"/>
    </row>
    <row r="18" spans="1:3" s="39" customFormat="1" ht="12.15" customHeight="1" thickBot="1" x14ac:dyDescent="0.3">
      <c r="A18" s="207" t="s">
        <v>103</v>
      </c>
      <c r="B18" s="4" t="s">
        <v>216</v>
      </c>
      <c r="C18" s="506"/>
    </row>
    <row r="19" spans="1:3" s="38" customFormat="1" ht="12.15" customHeight="1" thickBot="1" x14ac:dyDescent="0.3">
      <c r="A19" s="71" t="s">
        <v>17</v>
      </c>
      <c r="B19" s="84" t="s">
        <v>333</v>
      </c>
      <c r="C19" s="502">
        <f>SUM(C20:C22)</f>
        <v>0</v>
      </c>
    </row>
    <row r="20" spans="1:3" s="39" customFormat="1" ht="12.15" customHeight="1" x14ac:dyDescent="0.25">
      <c r="A20" s="207" t="s">
        <v>91</v>
      </c>
      <c r="B20" s="6" t="s">
        <v>185</v>
      </c>
      <c r="C20" s="507"/>
    </row>
    <row r="21" spans="1:3" s="39" customFormat="1" ht="12.15" customHeight="1" x14ac:dyDescent="0.25">
      <c r="A21" s="207" t="s">
        <v>92</v>
      </c>
      <c r="B21" s="5" t="s">
        <v>334</v>
      </c>
      <c r="C21" s="504"/>
    </row>
    <row r="22" spans="1:3" s="39" customFormat="1" ht="12.15" customHeight="1" x14ac:dyDescent="0.25">
      <c r="A22" s="207" t="s">
        <v>93</v>
      </c>
      <c r="B22" s="5" t="s">
        <v>335</v>
      </c>
      <c r="C22" s="504"/>
    </row>
    <row r="23" spans="1:3" s="39" customFormat="1" ht="12.15" customHeight="1" thickBot="1" x14ac:dyDescent="0.3">
      <c r="A23" s="207" t="s">
        <v>94</v>
      </c>
      <c r="B23" s="5" t="s">
        <v>459</v>
      </c>
      <c r="C23" s="504"/>
    </row>
    <row r="24" spans="1:3" s="39" customFormat="1" ht="12.15" customHeight="1" thickBot="1" x14ac:dyDescent="0.3">
      <c r="A24" s="74" t="s">
        <v>18</v>
      </c>
      <c r="B24" s="54" t="s">
        <v>125</v>
      </c>
      <c r="C24" s="509"/>
    </row>
    <row r="25" spans="1:3" s="39" customFormat="1" ht="12.15" customHeight="1" thickBot="1" x14ac:dyDescent="0.3">
      <c r="A25" s="74" t="s">
        <v>19</v>
      </c>
      <c r="B25" s="54" t="s">
        <v>460</v>
      </c>
      <c r="C25" s="502">
        <f>+C26+C27+C28</f>
        <v>0</v>
      </c>
    </row>
    <row r="26" spans="1:3" s="39" customFormat="1" ht="12.15" customHeight="1" x14ac:dyDescent="0.25">
      <c r="A26" s="208" t="s">
        <v>195</v>
      </c>
      <c r="B26" s="209" t="s">
        <v>190</v>
      </c>
      <c r="C26" s="510"/>
    </row>
    <row r="27" spans="1:3" s="39" customFormat="1" ht="12.15" customHeight="1" x14ac:dyDescent="0.25">
      <c r="A27" s="208" t="s">
        <v>198</v>
      </c>
      <c r="B27" s="209" t="s">
        <v>334</v>
      </c>
      <c r="C27" s="507"/>
    </row>
    <row r="28" spans="1:3" s="39" customFormat="1" ht="12.15" customHeight="1" x14ac:dyDescent="0.25">
      <c r="A28" s="208" t="s">
        <v>199</v>
      </c>
      <c r="B28" s="210" t="s">
        <v>336</v>
      </c>
      <c r="C28" s="507"/>
    </row>
    <row r="29" spans="1:3" s="39" customFormat="1" ht="12.15" customHeight="1" thickBot="1" x14ac:dyDescent="0.3">
      <c r="A29" s="207" t="s">
        <v>200</v>
      </c>
      <c r="B29" s="57" t="s">
        <v>461</v>
      </c>
      <c r="C29" s="511"/>
    </row>
    <row r="30" spans="1:3" s="39" customFormat="1" ht="12.15" customHeight="1" thickBot="1" x14ac:dyDescent="0.3">
      <c r="A30" s="74" t="s">
        <v>20</v>
      </c>
      <c r="B30" s="54" t="s">
        <v>337</v>
      </c>
      <c r="C30" s="502">
        <f>+C31+C32+C33</f>
        <v>0</v>
      </c>
    </row>
    <row r="31" spans="1:3" s="39" customFormat="1" ht="12.15" customHeight="1" x14ac:dyDescent="0.25">
      <c r="A31" s="208" t="s">
        <v>78</v>
      </c>
      <c r="B31" s="209" t="s">
        <v>221</v>
      </c>
      <c r="C31" s="510"/>
    </row>
    <row r="32" spans="1:3" s="39" customFormat="1" ht="12.15" customHeight="1" x14ac:dyDescent="0.25">
      <c r="A32" s="208" t="s">
        <v>79</v>
      </c>
      <c r="B32" s="210" t="s">
        <v>222</v>
      </c>
      <c r="C32" s="505"/>
    </row>
    <row r="33" spans="1:3" s="38" customFormat="1" ht="12.15" customHeight="1" thickBot="1" x14ac:dyDescent="0.3">
      <c r="A33" s="207" t="s">
        <v>80</v>
      </c>
      <c r="B33" s="57" t="s">
        <v>223</v>
      </c>
      <c r="C33" s="511"/>
    </row>
    <row r="34" spans="1:3" s="38" customFormat="1" ht="12.15" customHeight="1" thickBot="1" x14ac:dyDescent="0.3">
      <c r="A34" s="74" t="s">
        <v>21</v>
      </c>
      <c r="B34" s="54" t="s">
        <v>309</v>
      </c>
      <c r="C34" s="690"/>
    </row>
    <row r="35" spans="1:3" s="38" customFormat="1" ht="12.15" customHeight="1" thickBot="1" x14ac:dyDescent="0.3">
      <c r="A35" s="74" t="s">
        <v>22</v>
      </c>
      <c r="B35" s="54" t="s">
        <v>338</v>
      </c>
      <c r="C35" s="512"/>
    </row>
    <row r="36" spans="1:3" s="38" customFormat="1" ht="12.15" customHeight="1" thickBot="1" x14ac:dyDescent="0.3">
      <c r="A36" s="71" t="s">
        <v>23</v>
      </c>
      <c r="B36" s="54" t="s">
        <v>339</v>
      </c>
      <c r="C36" s="513">
        <f>+C7+C19+C24+C25+C30+C34+C35</f>
        <v>13430000</v>
      </c>
    </row>
    <row r="37" spans="1:3" s="38" customFormat="1" ht="12.15" customHeight="1" thickBot="1" x14ac:dyDescent="0.3">
      <c r="A37" s="85" t="s">
        <v>24</v>
      </c>
      <c r="B37" s="54" t="s">
        <v>340</v>
      </c>
      <c r="C37" s="513">
        <f>+C38+C39+C40</f>
        <v>262331687</v>
      </c>
    </row>
    <row r="38" spans="1:3" s="38" customFormat="1" ht="12.15" customHeight="1" x14ac:dyDescent="0.25">
      <c r="A38" s="208" t="s">
        <v>341</v>
      </c>
      <c r="B38" s="209" t="s">
        <v>166</v>
      </c>
      <c r="C38" s="34"/>
    </row>
    <row r="39" spans="1:3" s="39" customFormat="1" ht="12.15" customHeight="1" x14ac:dyDescent="0.25">
      <c r="A39" s="208" t="s">
        <v>342</v>
      </c>
      <c r="B39" s="210" t="s">
        <v>6</v>
      </c>
      <c r="C39" s="125"/>
    </row>
    <row r="40" spans="1:3" s="39" customFormat="1" ht="15" customHeight="1" thickBot="1" x14ac:dyDescent="0.3">
      <c r="A40" s="207" t="s">
        <v>343</v>
      </c>
      <c r="B40" s="57" t="s">
        <v>344</v>
      </c>
      <c r="C40" s="511">
        <v>262331687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34">
        <f>+C36+C37</f>
        <v>275761687</v>
      </c>
    </row>
    <row r="42" spans="1:3" s="213" customFormat="1" ht="12.15" customHeight="1" thickBot="1" x14ac:dyDescent="0.3">
      <c r="A42" s="91"/>
      <c r="B42" s="92" t="s">
        <v>53</v>
      </c>
      <c r="C42" s="514"/>
    </row>
    <row r="43" spans="1:3" ht="12.15" customHeight="1" thickBot="1" x14ac:dyDescent="0.3">
      <c r="A43" s="74" t="s">
        <v>16</v>
      </c>
      <c r="B43" s="54" t="s">
        <v>346</v>
      </c>
      <c r="C43" s="502">
        <f>SUM(C44:C48)</f>
        <v>273919683</v>
      </c>
    </row>
    <row r="44" spans="1:3" ht="12.15" customHeight="1" x14ac:dyDescent="0.25">
      <c r="A44" s="207" t="s">
        <v>85</v>
      </c>
      <c r="B44" s="6" t="s">
        <v>46</v>
      </c>
      <c r="C44" s="34">
        <f>194574056</f>
        <v>194574056</v>
      </c>
    </row>
    <row r="45" spans="1:3" ht="12.15" customHeight="1" x14ac:dyDescent="0.25">
      <c r="A45" s="207" t="s">
        <v>86</v>
      </c>
      <c r="B45" s="5" t="s">
        <v>134</v>
      </c>
      <c r="C45" s="36">
        <f>28286007</f>
        <v>28286007</v>
      </c>
    </row>
    <row r="46" spans="1:3" ht="12.15" customHeight="1" x14ac:dyDescent="0.25">
      <c r="A46" s="207" t="s">
        <v>87</v>
      </c>
      <c r="B46" s="5" t="s">
        <v>110</v>
      </c>
      <c r="C46" s="504">
        <f>51059620</f>
        <v>51059620</v>
      </c>
    </row>
    <row r="47" spans="1:3" ht="12.15" customHeight="1" x14ac:dyDescent="0.25">
      <c r="A47" s="207" t="s">
        <v>88</v>
      </c>
      <c r="B47" s="5" t="s">
        <v>135</v>
      </c>
      <c r="C47" s="504"/>
    </row>
    <row r="48" spans="1:3" ht="12.15" customHeight="1" thickBot="1" x14ac:dyDescent="0.3">
      <c r="A48" s="207" t="s">
        <v>111</v>
      </c>
      <c r="B48" s="5" t="s">
        <v>136</v>
      </c>
      <c r="C48" s="504"/>
    </row>
    <row r="49" spans="1:3" s="213" customFormat="1" ht="12.15" customHeight="1" thickBot="1" x14ac:dyDescent="0.3">
      <c r="A49" s="74" t="s">
        <v>17</v>
      </c>
      <c r="B49" s="54" t="s">
        <v>347</v>
      </c>
      <c r="C49" s="502">
        <f>SUM(C50:C52)</f>
        <v>1842004</v>
      </c>
    </row>
    <row r="50" spans="1:3" ht="12.15" customHeight="1" x14ac:dyDescent="0.25">
      <c r="A50" s="207" t="s">
        <v>91</v>
      </c>
      <c r="B50" s="6" t="s">
        <v>157</v>
      </c>
      <c r="C50" s="510">
        <f>1842004</f>
        <v>1842004</v>
      </c>
    </row>
    <row r="51" spans="1:3" ht="12.15" customHeight="1" x14ac:dyDescent="0.25">
      <c r="A51" s="207" t="s">
        <v>92</v>
      </c>
      <c r="B51" s="5" t="s">
        <v>138</v>
      </c>
      <c r="C51" s="504"/>
    </row>
    <row r="52" spans="1:3" ht="12.15" customHeight="1" x14ac:dyDescent="0.25">
      <c r="A52" s="207" t="s">
        <v>93</v>
      </c>
      <c r="B52" s="5" t="s">
        <v>54</v>
      </c>
      <c r="C52" s="504"/>
    </row>
    <row r="53" spans="1:3" ht="15" customHeight="1" thickBot="1" x14ac:dyDescent="0.3">
      <c r="A53" s="207" t="s">
        <v>94</v>
      </c>
      <c r="B53" s="5" t="s">
        <v>462</v>
      </c>
      <c r="C53" s="504"/>
    </row>
    <row r="54" spans="1:3" ht="13.8" thickBot="1" x14ac:dyDescent="0.3">
      <c r="A54" s="74" t="s">
        <v>18</v>
      </c>
      <c r="B54" s="54" t="s">
        <v>12</v>
      </c>
      <c r="C54" s="509"/>
    </row>
    <row r="55" spans="1:3" ht="15" customHeight="1" thickBot="1" x14ac:dyDescent="0.3">
      <c r="A55" s="74" t="s">
        <v>19</v>
      </c>
      <c r="B55" s="93" t="s">
        <v>463</v>
      </c>
      <c r="C55" s="124">
        <f>+C43+C49+C54</f>
        <v>275761687</v>
      </c>
    </row>
    <row r="56" spans="1:3" ht="13.8" thickBot="1" x14ac:dyDescent="0.3">
      <c r="A56" s="95" t="s">
        <v>456</v>
      </c>
      <c r="B56" s="96"/>
      <c r="C56" s="519">
        <f>41-2-1-0.345-0.345</f>
        <v>37.31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B8" sqref="B8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4" width="9.44140625" style="301" bestFit="1" customWidth="1"/>
    <col min="5" max="5" width="10.77734375" style="301" bestFit="1" customWidth="1"/>
    <col min="6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3" ht="12.75" customHeight="1" x14ac:dyDescent="0.25">
      <c r="A1" s="1340" t="str">
        <f>CONCATENATE("19. melléklet"," ",ALAPADATOK!A7," ",ALAPADATOK!B7," ",ALAPADATOK!C7," ",ALAPADATOK!D7," ",ALAPADATOK!E7," ",ALAPADATOK!F7," ",ALAPADATOK!G7," ",ALAPADATOK!H7)</f>
        <v>19. melléklet a …. / 2024. ( .... ) önkormányzati rendelethez</v>
      </c>
      <c r="B1" s="1340"/>
      <c r="C1" s="1340"/>
    </row>
    <row r="2" spans="1:3" s="1" customFormat="1" ht="21.15" customHeight="1" x14ac:dyDescent="0.25">
      <c r="A2" s="75"/>
      <c r="B2" s="76"/>
      <c r="C2" s="307"/>
    </row>
    <row r="3" spans="1:3" s="37" customFormat="1" ht="34.5" customHeight="1" thickBot="1" x14ac:dyDescent="0.3">
      <c r="A3" s="1290" t="s">
        <v>855</v>
      </c>
      <c r="B3" s="1290"/>
      <c r="C3" s="1290"/>
    </row>
    <row r="4" spans="1:3" ht="13.8" thickBot="1" x14ac:dyDescent="0.3">
      <c r="A4" s="172" t="s">
        <v>153</v>
      </c>
      <c r="B4" s="79" t="s">
        <v>50</v>
      </c>
      <c r="C4" s="311" t="s">
        <v>845</v>
      </c>
    </row>
    <row r="5" spans="1:3" s="32" customFormat="1" ht="12.9" customHeight="1" thickBot="1" x14ac:dyDescent="0.3">
      <c r="A5" s="71" t="s">
        <v>382</v>
      </c>
      <c r="B5" s="72" t="s">
        <v>383</v>
      </c>
      <c r="C5" s="312" t="s">
        <v>384</v>
      </c>
    </row>
    <row r="6" spans="1:3" s="32" customFormat="1" ht="15.9" customHeight="1" thickBot="1" x14ac:dyDescent="0.3">
      <c r="A6" s="81"/>
      <c r="B6" s="82" t="s">
        <v>52</v>
      </c>
      <c r="C6" s="313"/>
    </row>
    <row r="7" spans="1:3" s="38" customFormat="1" ht="12.15" customHeight="1" thickBot="1" x14ac:dyDescent="0.3">
      <c r="A7" s="71" t="s">
        <v>16</v>
      </c>
      <c r="B7" s="84" t="s">
        <v>458</v>
      </c>
      <c r="C7" s="502">
        <f>SUM(C8:C18)</f>
        <v>277799361</v>
      </c>
    </row>
    <row r="8" spans="1:3" s="38" customFormat="1" ht="12.15" customHeight="1" x14ac:dyDescent="0.25">
      <c r="A8" s="206" t="s">
        <v>85</v>
      </c>
      <c r="B8" s="7" t="s">
        <v>207</v>
      </c>
      <c r="C8" s="503"/>
    </row>
    <row r="9" spans="1:3" s="38" customFormat="1" ht="12.15" customHeight="1" x14ac:dyDescent="0.25">
      <c r="A9" s="207" t="s">
        <v>86</v>
      </c>
      <c r="B9" s="5" t="s">
        <v>208</v>
      </c>
      <c r="C9" s="504">
        <v>2680000</v>
      </c>
    </row>
    <row r="10" spans="1:3" s="38" customFormat="1" ht="12.15" customHeight="1" x14ac:dyDescent="0.25">
      <c r="A10" s="207" t="s">
        <v>87</v>
      </c>
      <c r="B10" s="5" t="s">
        <v>209</v>
      </c>
      <c r="C10" s="504">
        <v>16480000</v>
      </c>
    </row>
    <row r="11" spans="1:3" s="38" customFormat="1" ht="12.15" customHeight="1" x14ac:dyDescent="0.25">
      <c r="A11" s="207" t="s">
        <v>88</v>
      </c>
      <c r="B11" s="5" t="s">
        <v>210</v>
      </c>
      <c r="C11" s="504"/>
    </row>
    <row r="12" spans="1:3" s="38" customFormat="1" ht="12.15" customHeight="1" x14ac:dyDescent="0.25">
      <c r="A12" s="207" t="s">
        <v>111</v>
      </c>
      <c r="B12" s="5" t="s">
        <v>211</v>
      </c>
      <c r="C12" s="504">
        <v>256415480</v>
      </c>
    </row>
    <row r="13" spans="1:3" s="38" customFormat="1" ht="12.15" customHeight="1" x14ac:dyDescent="0.25">
      <c r="A13" s="207" t="s">
        <v>89</v>
      </c>
      <c r="B13" s="5" t="s">
        <v>331</v>
      </c>
      <c r="C13" s="504">
        <v>2223881</v>
      </c>
    </row>
    <row r="14" spans="1:3" s="38" customFormat="1" ht="12.15" customHeight="1" x14ac:dyDescent="0.25">
      <c r="A14" s="207" t="s">
        <v>90</v>
      </c>
      <c r="B14" s="4" t="s">
        <v>332</v>
      </c>
      <c r="C14" s="504"/>
    </row>
    <row r="15" spans="1:3" s="38" customFormat="1" ht="12.15" customHeight="1" x14ac:dyDescent="0.25">
      <c r="A15" s="207" t="s">
        <v>100</v>
      </c>
      <c r="B15" s="5" t="s">
        <v>214</v>
      </c>
      <c r="C15" s="505"/>
    </row>
    <row r="16" spans="1:3" s="39" customFormat="1" ht="12.15" customHeight="1" x14ac:dyDescent="0.25">
      <c r="A16" s="207" t="s">
        <v>101</v>
      </c>
      <c r="B16" s="5" t="s">
        <v>215</v>
      </c>
      <c r="C16" s="504"/>
    </row>
    <row r="17" spans="1:3" s="39" customFormat="1" ht="12.15" customHeight="1" x14ac:dyDescent="0.25">
      <c r="A17" s="207" t="s">
        <v>102</v>
      </c>
      <c r="B17" s="5" t="s">
        <v>388</v>
      </c>
      <c r="C17" s="506"/>
    </row>
    <row r="18" spans="1:3" s="39" customFormat="1" ht="12.15" customHeight="1" thickBot="1" x14ac:dyDescent="0.3">
      <c r="A18" s="207" t="s">
        <v>103</v>
      </c>
      <c r="B18" s="4" t="s">
        <v>216</v>
      </c>
      <c r="C18" s="506"/>
    </row>
    <row r="19" spans="1:3" s="38" customFormat="1" ht="12.15" customHeight="1" thickBot="1" x14ac:dyDescent="0.3">
      <c r="A19" s="71" t="s">
        <v>17</v>
      </c>
      <c r="B19" s="84" t="s">
        <v>333</v>
      </c>
      <c r="C19" s="124">
        <f>SUM(C20:C22)</f>
        <v>238149000</v>
      </c>
    </row>
    <row r="20" spans="1:3" s="39" customFormat="1" ht="12.15" customHeight="1" x14ac:dyDescent="0.25">
      <c r="A20" s="207" t="s">
        <v>91</v>
      </c>
      <c r="B20" s="6" t="s">
        <v>185</v>
      </c>
      <c r="C20" s="36"/>
    </row>
    <row r="21" spans="1:3" s="39" customFormat="1" ht="12.15" customHeight="1" x14ac:dyDescent="0.25">
      <c r="A21" s="207" t="s">
        <v>92</v>
      </c>
      <c r="B21" s="5" t="s">
        <v>334</v>
      </c>
      <c r="C21" s="36"/>
    </row>
    <row r="22" spans="1:3" s="39" customFormat="1" ht="12.15" customHeight="1" x14ac:dyDescent="0.25">
      <c r="A22" s="207" t="s">
        <v>93</v>
      </c>
      <c r="B22" s="5" t="s">
        <v>335</v>
      </c>
      <c r="C22" s="36">
        <v>238149000</v>
      </c>
    </row>
    <row r="23" spans="1:3" s="39" customFormat="1" ht="12.15" customHeight="1" thickBot="1" x14ac:dyDescent="0.3">
      <c r="A23" s="207" t="s">
        <v>94</v>
      </c>
      <c r="B23" s="5" t="s">
        <v>459</v>
      </c>
      <c r="C23" s="504"/>
    </row>
    <row r="24" spans="1:3" s="39" customFormat="1" ht="12.15" customHeight="1" thickBot="1" x14ac:dyDescent="0.3">
      <c r="A24" s="74" t="s">
        <v>18</v>
      </c>
      <c r="B24" s="54" t="s">
        <v>125</v>
      </c>
      <c r="C24" s="509"/>
    </row>
    <row r="25" spans="1:3" s="39" customFormat="1" ht="12.15" customHeight="1" thickBot="1" x14ac:dyDescent="0.3">
      <c r="A25" s="74" t="s">
        <v>19</v>
      </c>
      <c r="B25" s="54" t="s">
        <v>460</v>
      </c>
      <c r="C25" s="502">
        <f>+C26+C27+C28</f>
        <v>0</v>
      </c>
    </row>
    <row r="26" spans="1:3" s="39" customFormat="1" ht="12.15" customHeight="1" x14ac:dyDescent="0.25">
      <c r="A26" s="208" t="s">
        <v>195</v>
      </c>
      <c r="B26" s="209" t="s">
        <v>190</v>
      </c>
      <c r="C26" s="510"/>
    </row>
    <row r="27" spans="1:3" s="39" customFormat="1" ht="12.15" customHeight="1" x14ac:dyDescent="0.25">
      <c r="A27" s="208" t="s">
        <v>198</v>
      </c>
      <c r="B27" s="209" t="s">
        <v>334</v>
      </c>
      <c r="C27" s="507"/>
    </row>
    <row r="28" spans="1:3" s="39" customFormat="1" ht="12.15" customHeight="1" x14ac:dyDescent="0.25">
      <c r="A28" s="208" t="s">
        <v>199</v>
      </c>
      <c r="B28" s="210" t="s">
        <v>336</v>
      </c>
      <c r="C28" s="504"/>
    </row>
    <row r="29" spans="1:3" s="39" customFormat="1" ht="12.15" customHeight="1" thickBot="1" x14ac:dyDescent="0.3">
      <c r="A29" s="207" t="s">
        <v>200</v>
      </c>
      <c r="B29" s="57" t="s">
        <v>461</v>
      </c>
      <c r="C29" s="511"/>
    </row>
    <row r="30" spans="1:3" s="39" customFormat="1" ht="12.15" customHeight="1" thickBot="1" x14ac:dyDescent="0.3">
      <c r="A30" s="74" t="s">
        <v>20</v>
      </c>
      <c r="B30" s="54" t="s">
        <v>337</v>
      </c>
      <c r="C30" s="502">
        <f>+C31+C32+C33</f>
        <v>0</v>
      </c>
    </row>
    <row r="31" spans="1:3" s="39" customFormat="1" ht="12.15" customHeight="1" x14ac:dyDescent="0.25">
      <c r="A31" s="208" t="s">
        <v>78</v>
      </c>
      <c r="B31" s="209" t="s">
        <v>221</v>
      </c>
      <c r="C31" s="510"/>
    </row>
    <row r="32" spans="1:3" s="39" customFormat="1" ht="12.15" customHeight="1" x14ac:dyDescent="0.25">
      <c r="A32" s="208" t="s">
        <v>79</v>
      </c>
      <c r="B32" s="210" t="s">
        <v>222</v>
      </c>
      <c r="C32" s="505"/>
    </row>
    <row r="33" spans="1:3" s="38" customFormat="1" ht="12.15" customHeight="1" thickBot="1" x14ac:dyDescent="0.3">
      <c r="A33" s="207" t="s">
        <v>80</v>
      </c>
      <c r="B33" s="57" t="s">
        <v>223</v>
      </c>
      <c r="C33" s="511"/>
    </row>
    <row r="34" spans="1:3" s="38" customFormat="1" ht="12.15" customHeight="1" thickBot="1" x14ac:dyDescent="0.3">
      <c r="A34" s="74" t="s">
        <v>21</v>
      </c>
      <c r="B34" s="54" t="s">
        <v>309</v>
      </c>
      <c r="C34" s="509"/>
    </row>
    <row r="35" spans="1:3" s="38" customFormat="1" ht="12.15" customHeight="1" thickBot="1" x14ac:dyDescent="0.3">
      <c r="A35" s="74" t="s">
        <v>22</v>
      </c>
      <c r="B35" s="54" t="s">
        <v>338</v>
      </c>
      <c r="C35" s="701"/>
    </row>
    <row r="36" spans="1:3" s="38" customFormat="1" ht="12.15" customHeight="1" thickBot="1" x14ac:dyDescent="0.3">
      <c r="A36" s="71" t="s">
        <v>23</v>
      </c>
      <c r="B36" s="54" t="s">
        <v>339</v>
      </c>
      <c r="C36" s="634">
        <f>+C7+C19+C24+C25+C30+C34+C35</f>
        <v>515948361</v>
      </c>
    </row>
    <row r="37" spans="1:3" s="38" customFormat="1" ht="12.15" customHeight="1" thickBot="1" x14ac:dyDescent="0.3">
      <c r="A37" s="85" t="s">
        <v>24</v>
      </c>
      <c r="B37" s="54" t="s">
        <v>340</v>
      </c>
      <c r="C37" s="513">
        <f>+C38+C39+C40</f>
        <v>842400374</v>
      </c>
    </row>
    <row r="38" spans="1:3" s="38" customFormat="1" ht="12.15" customHeight="1" x14ac:dyDescent="0.25">
      <c r="A38" s="208" t="s">
        <v>341</v>
      </c>
      <c r="B38" s="209" t="s">
        <v>166</v>
      </c>
      <c r="C38" s="510">
        <v>89366856</v>
      </c>
    </row>
    <row r="39" spans="1:3" s="39" customFormat="1" ht="12.15" customHeight="1" x14ac:dyDescent="0.25">
      <c r="A39" s="208" t="s">
        <v>342</v>
      </c>
      <c r="B39" s="210" t="s">
        <v>6</v>
      </c>
      <c r="C39" s="505"/>
    </row>
    <row r="40" spans="1:3" s="39" customFormat="1" ht="15" customHeight="1" thickBot="1" x14ac:dyDescent="0.3">
      <c r="A40" s="207" t="s">
        <v>343</v>
      </c>
      <c r="B40" s="57" t="s">
        <v>344</v>
      </c>
      <c r="C40" s="799">
        <f>738629023+14404495</f>
        <v>753033518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34">
        <f>+C36+C37</f>
        <v>1358348735</v>
      </c>
    </row>
    <row r="42" spans="1:3" s="213" customFormat="1" ht="12.15" customHeight="1" thickBot="1" x14ac:dyDescent="0.3">
      <c r="A42" s="91"/>
      <c r="B42" s="92" t="s">
        <v>53</v>
      </c>
      <c r="C42" s="514"/>
    </row>
    <row r="43" spans="1:3" ht="12.15" customHeight="1" thickBot="1" x14ac:dyDescent="0.3">
      <c r="A43" s="74" t="s">
        <v>16</v>
      </c>
      <c r="B43" s="54" t="s">
        <v>346</v>
      </c>
      <c r="C43" s="632">
        <f>SUM(C44:C48)</f>
        <v>1305410739</v>
      </c>
    </row>
    <row r="44" spans="1:3" ht="12.15" customHeight="1" x14ac:dyDescent="0.25">
      <c r="A44" s="207" t="s">
        <v>85</v>
      </c>
      <c r="B44" s="6" t="s">
        <v>46</v>
      </c>
      <c r="C44" s="34">
        <f>685741550</f>
        <v>685741550</v>
      </c>
    </row>
    <row r="45" spans="1:3" ht="12.15" customHeight="1" x14ac:dyDescent="0.25">
      <c r="A45" s="207" t="s">
        <v>86</v>
      </c>
      <c r="B45" s="5" t="s">
        <v>134</v>
      </c>
      <c r="C45" s="36">
        <f>86664787</f>
        <v>86664787</v>
      </c>
    </row>
    <row r="46" spans="1:3" ht="12.15" customHeight="1" x14ac:dyDescent="0.25">
      <c r="A46" s="207" t="s">
        <v>87</v>
      </c>
      <c r="B46" s="5" t="s">
        <v>110</v>
      </c>
      <c r="C46" s="636">
        <f>394200899+14404495-4651481</f>
        <v>403953913</v>
      </c>
    </row>
    <row r="47" spans="1:3" ht="12.15" customHeight="1" x14ac:dyDescent="0.25">
      <c r="A47" s="207" t="s">
        <v>88</v>
      </c>
      <c r="B47" s="5" t="s">
        <v>135</v>
      </c>
      <c r="C47" s="504"/>
    </row>
    <row r="48" spans="1:3" ht="12.15" customHeight="1" thickBot="1" x14ac:dyDescent="0.3">
      <c r="A48" s="207" t="s">
        <v>111</v>
      </c>
      <c r="B48" s="5" t="s">
        <v>136</v>
      </c>
      <c r="C48" s="636">
        <f>124399008+4651481</f>
        <v>129050489</v>
      </c>
    </row>
    <row r="49" spans="1:5" s="213" customFormat="1" ht="12.15" customHeight="1" thickBot="1" x14ac:dyDescent="0.3">
      <c r="A49" s="74" t="s">
        <v>17</v>
      </c>
      <c r="B49" s="54" t="s">
        <v>347</v>
      </c>
      <c r="C49" s="502">
        <f>SUM(C50:C52)</f>
        <v>52937996</v>
      </c>
    </row>
    <row r="50" spans="1:5" ht="12.15" customHeight="1" x14ac:dyDescent="0.25">
      <c r="A50" s="207" t="s">
        <v>91</v>
      </c>
      <c r="B50" s="6" t="s">
        <v>157</v>
      </c>
      <c r="C50" s="34">
        <f>52937996</f>
        <v>52937996</v>
      </c>
    </row>
    <row r="51" spans="1:5" ht="12.15" customHeight="1" x14ac:dyDescent="0.25">
      <c r="A51" s="207" t="s">
        <v>92</v>
      </c>
      <c r="B51" s="5" t="s">
        <v>138</v>
      </c>
      <c r="C51" s="504"/>
    </row>
    <row r="52" spans="1:5" ht="12.15" customHeight="1" x14ac:dyDescent="0.25">
      <c r="A52" s="207" t="s">
        <v>93</v>
      </c>
      <c r="B52" s="5" t="s">
        <v>54</v>
      </c>
      <c r="C52" s="504"/>
    </row>
    <row r="53" spans="1:5" ht="15" customHeight="1" thickBot="1" x14ac:dyDescent="0.3">
      <c r="A53" s="207" t="s">
        <v>94</v>
      </c>
      <c r="B53" s="5" t="s">
        <v>462</v>
      </c>
      <c r="C53" s="504"/>
    </row>
    <row r="54" spans="1:5" ht="13.8" thickBot="1" x14ac:dyDescent="0.3">
      <c r="A54" s="74" t="s">
        <v>18</v>
      </c>
      <c r="B54" s="54" t="s">
        <v>12</v>
      </c>
      <c r="C54" s="509"/>
      <c r="D54" s="31"/>
      <c r="E54" s="31"/>
    </row>
    <row r="55" spans="1:5" ht="15" customHeight="1" thickBot="1" x14ac:dyDescent="0.3">
      <c r="A55" s="74" t="s">
        <v>19</v>
      </c>
      <c r="B55" s="93" t="s">
        <v>463</v>
      </c>
      <c r="C55" s="124">
        <f>+C43+C49+C54</f>
        <v>1358348735</v>
      </c>
    </row>
    <row r="56" spans="1:5" ht="13.8" thickBot="1" x14ac:dyDescent="0.3">
      <c r="A56" s="1341" t="s">
        <v>456</v>
      </c>
      <c r="B56" s="1342"/>
      <c r="C56" s="807">
        <f>110-3.33+1+3+1-3.655-3.655</f>
        <v>104.36</v>
      </c>
    </row>
    <row r="57" spans="1:5" ht="13.8" thickBot="1" x14ac:dyDescent="0.3">
      <c r="A57" s="1351" t="s">
        <v>641</v>
      </c>
      <c r="B57" s="1352"/>
      <c r="C57" s="523">
        <v>0</v>
      </c>
    </row>
    <row r="58" spans="1:5" ht="13.65" customHeight="1" thickBot="1" x14ac:dyDescent="0.3">
      <c r="A58" s="1349" t="s">
        <v>816</v>
      </c>
      <c r="B58" s="1350"/>
      <c r="C58" s="705">
        <v>111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A2" sqref="A2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4" width="9.44140625" style="301" bestFit="1" customWidth="1"/>
    <col min="5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3" ht="12.75" customHeight="1" x14ac:dyDescent="0.25">
      <c r="A1" s="1340" t="str">
        <f>CONCATENATE("20. melléklet"," ",ALAPADATOK!A7," ",ALAPADATOK!B7," ",ALAPADATOK!C7," ",ALAPADATOK!D7," ",ALAPADATOK!E7," ",ALAPADATOK!F7," ",ALAPADATOK!G7," ",ALAPADATOK!H7)</f>
        <v>20. melléklet a …. / 2024. ( .... ) önkormányzati rendelethez</v>
      </c>
      <c r="B1" s="1340"/>
      <c r="C1" s="1340"/>
    </row>
    <row r="2" spans="1:3" s="1" customFormat="1" ht="21.15" customHeight="1" thickBot="1" x14ac:dyDescent="0.3">
      <c r="A2" s="76"/>
      <c r="B2" s="76"/>
      <c r="C2" s="1072" t="s">
        <v>972</v>
      </c>
    </row>
    <row r="3" spans="1:3" s="37" customFormat="1" ht="34.5" customHeight="1" x14ac:dyDescent="0.25">
      <c r="A3" s="171" t="s">
        <v>152</v>
      </c>
      <c r="B3" s="152" t="s">
        <v>476</v>
      </c>
      <c r="C3" s="308" t="s">
        <v>56</v>
      </c>
    </row>
    <row r="4" spans="1:3" s="37" customFormat="1" ht="23.4" thickBot="1" x14ac:dyDescent="0.3">
      <c r="A4" s="205" t="s">
        <v>151</v>
      </c>
      <c r="B4" s="153" t="s">
        <v>521</v>
      </c>
      <c r="C4" s="309" t="s">
        <v>56</v>
      </c>
    </row>
    <row r="5" spans="1:3" s="212" customFormat="1" ht="15.9" customHeight="1" thickBot="1" x14ac:dyDescent="0.35">
      <c r="A5" s="77"/>
      <c r="B5" s="77"/>
      <c r="C5" s="310" t="s">
        <v>484</v>
      </c>
    </row>
    <row r="6" spans="1:3" ht="13.8" thickBot="1" x14ac:dyDescent="0.3">
      <c r="A6" s="172" t="s">
        <v>153</v>
      </c>
      <c r="B6" s="79" t="s">
        <v>50</v>
      </c>
      <c r="C6" s="311" t="s">
        <v>51</v>
      </c>
    </row>
    <row r="7" spans="1:3" s="32" customFormat="1" ht="12.9" customHeight="1" thickBot="1" x14ac:dyDescent="0.3">
      <c r="A7" s="71" t="s">
        <v>382</v>
      </c>
      <c r="B7" s="72" t="s">
        <v>383</v>
      </c>
      <c r="C7" s="312" t="s">
        <v>384</v>
      </c>
    </row>
    <row r="8" spans="1:3" s="32" customFormat="1" ht="15.9" customHeight="1" thickBot="1" x14ac:dyDescent="0.3">
      <c r="A8" s="81"/>
      <c r="B8" s="82" t="s">
        <v>52</v>
      </c>
      <c r="C8" s="313"/>
    </row>
    <row r="9" spans="1:3" s="38" customFormat="1" ht="12.15" customHeight="1" thickBot="1" x14ac:dyDescent="0.3">
      <c r="A9" s="71" t="s">
        <v>16</v>
      </c>
      <c r="B9" s="84" t="s">
        <v>458</v>
      </c>
      <c r="C9" s="502">
        <f>SUM(C10:C20)</f>
        <v>0</v>
      </c>
    </row>
    <row r="10" spans="1:3" s="38" customFormat="1" ht="12.15" customHeight="1" x14ac:dyDescent="0.25">
      <c r="A10" s="206" t="s">
        <v>85</v>
      </c>
      <c r="B10" s="7" t="s">
        <v>207</v>
      </c>
      <c r="C10" s="503"/>
    </row>
    <row r="11" spans="1:3" s="38" customFormat="1" ht="12.15" customHeight="1" x14ac:dyDescent="0.25">
      <c r="A11" s="207" t="s">
        <v>86</v>
      </c>
      <c r="B11" s="5" t="s">
        <v>208</v>
      </c>
      <c r="C11" s="504"/>
    </row>
    <row r="12" spans="1:3" s="38" customFormat="1" ht="12.15" customHeight="1" x14ac:dyDescent="0.25">
      <c r="A12" s="207" t="s">
        <v>87</v>
      </c>
      <c r="B12" s="5" t="s">
        <v>209</v>
      </c>
      <c r="C12" s="504"/>
    </row>
    <row r="13" spans="1:3" s="38" customFormat="1" ht="12.15" customHeight="1" x14ac:dyDescent="0.25">
      <c r="A13" s="207" t="s">
        <v>88</v>
      </c>
      <c r="B13" s="5" t="s">
        <v>210</v>
      </c>
      <c r="C13" s="504"/>
    </row>
    <row r="14" spans="1:3" s="38" customFormat="1" ht="12.15" customHeight="1" x14ac:dyDescent="0.25">
      <c r="A14" s="207" t="s">
        <v>111</v>
      </c>
      <c r="B14" s="5" t="s">
        <v>211</v>
      </c>
      <c r="C14" s="504"/>
    </row>
    <row r="15" spans="1:3" s="38" customFormat="1" ht="12.15" customHeight="1" x14ac:dyDescent="0.25">
      <c r="A15" s="207" t="s">
        <v>89</v>
      </c>
      <c r="B15" s="5" t="s">
        <v>331</v>
      </c>
      <c r="C15" s="504"/>
    </row>
    <row r="16" spans="1:3" s="38" customFormat="1" ht="12.15" customHeight="1" x14ac:dyDescent="0.25">
      <c r="A16" s="207" t="s">
        <v>90</v>
      </c>
      <c r="B16" s="4" t="s">
        <v>332</v>
      </c>
      <c r="C16" s="504"/>
    </row>
    <row r="17" spans="1:3" s="38" customFormat="1" ht="12.15" customHeight="1" x14ac:dyDescent="0.25">
      <c r="A17" s="207" t="s">
        <v>100</v>
      </c>
      <c r="B17" s="5" t="s">
        <v>214</v>
      </c>
      <c r="C17" s="505"/>
    </row>
    <row r="18" spans="1:3" s="39" customFormat="1" ht="12.15" customHeight="1" x14ac:dyDescent="0.25">
      <c r="A18" s="207" t="s">
        <v>101</v>
      </c>
      <c r="B18" s="5" t="s">
        <v>215</v>
      </c>
      <c r="C18" s="504"/>
    </row>
    <row r="19" spans="1:3" s="39" customFormat="1" ht="12.15" customHeight="1" x14ac:dyDescent="0.25">
      <c r="A19" s="207" t="s">
        <v>102</v>
      </c>
      <c r="B19" s="5" t="s">
        <v>388</v>
      </c>
      <c r="C19" s="506"/>
    </row>
    <row r="20" spans="1:3" s="39" customFormat="1" ht="12.15" customHeight="1" thickBot="1" x14ac:dyDescent="0.3">
      <c r="A20" s="207" t="s">
        <v>103</v>
      </c>
      <c r="B20" s="4" t="s">
        <v>216</v>
      </c>
      <c r="C20" s="506"/>
    </row>
    <row r="21" spans="1:3" s="38" customFormat="1" ht="12.15" customHeight="1" thickBot="1" x14ac:dyDescent="0.3">
      <c r="A21" s="71" t="s">
        <v>17</v>
      </c>
      <c r="B21" s="84" t="s">
        <v>333</v>
      </c>
      <c r="C21" s="502">
        <f>SUM(C22:C24)</f>
        <v>0</v>
      </c>
    </row>
    <row r="22" spans="1:3" s="39" customFormat="1" ht="12.15" customHeight="1" x14ac:dyDescent="0.25">
      <c r="A22" s="207" t="s">
        <v>91</v>
      </c>
      <c r="B22" s="6" t="s">
        <v>185</v>
      </c>
      <c r="C22" s="507"/>
    </row>
    <row r="23" spans="1:3" s="39" customFormat="1" ht="12.15" customHeight="1" x14ac:dyDescent="0.25">
      <c r="A23" s="207" t="s">
        <v>92</v>
      </c>
      <c r="B23" s="5" t="s">
        <v>334</v>
      </c>
      <c r="C23" s="504"/>
    </row>
    <row r="24" spans="1:3" s="39" customFormat="1" ht="12.15" customHeight="1" x14ac:dyDescent="0.25">
      <c r="A24" s="207" t="s">
        <v>93</v>
      </c>
      <c r="B24" s="5" t="s">
        <v>335</v>
      </c>
      <c r="C24" s="508"/>
    </row>
    <row r="25" spans="1:3" s="39" customFormat="1" ht="12.15" customHeight="1" thickBot="1" x14ac:dyDescent="0.3">
      <c r="A25" s="207" t="s">
        <v>94</v>
      </c>
      <c r="B25" s="5" t="s">
        <v>459</v>
      </c>
      <c r="C25" s="504"/>
    </row>
    <row r="26" spans="1:3" s="39" customFormat="1" ht="12.15" customHeight="1" thickBot="1" x14ac:dyDescent="0.3">
      <c r="A26" s="74" t="s">
        <v>18</v>
      </c>
      <c r="B26" s="54" t="s">
        <v>125</v>
      </c>
      <c r="C26" s="509"/>
    </row>
    <row r="27" spans="1:3" s="39" customFormat="1" ht="12.15" customHeight="1" thickBot="1" x14ac:dyDescent="0.3">
      <c r="A27" s="74" t="s">
        <v>19</v>
      </c>
      <c r="B27" s="54" t="s">
        <v>460</v>
      </c>
      <c r="C27" s="502">
        <f>+C28+C29+C30</f>
        <v>0</v>
      </c>
    </row>
    <row r="28" spans="1:3" s="39" customFormat="1" ht="12.15" customHeight="1" x14ac:dyDescent="0.25">
      <c r="A28" s="208" t="s">
        <v>195</v>
      </c>
      <c r="B28" s="209" t="s">
        <v>190</v>
      </c>
      <c r="C28" s="510"/>
    </row>
    <row r="29" spans="1:3" s="39" customFormat="1" ht="12.15" customHeight="1" x14ac:dyDescent="0.25">
      <c r="A29" s="208" t="s">
        <v>198</v>
      </c>
      <c r="B29" s="209" t="s">
        <v>334</v>
      </c>
      <c r="C29" s="507"/>
    </row>
    <row r="30" spans="1:3" s="39" customFormat="1" ht="12.15" customHeight="1" x14ac:dyDescent="0.25">
      <c r="A30" s="208" t="s">
        <v>199</v>
      </c>
      <c r="B30" s="210" t="s">
        <v>336</v>
      </c>
      <c r="C30" s="507"/>
    </row>
    <row r="31" spans="1:3" s="39" customFormat="1" ht="12.15" customHeight="1" thickBot="1" x14ac:dyDescent="0.3">
      <c r="A31" s="207" t="s">
        <v>200</v>
      </c>
      <c r="B31" s="57" t="s">
        <v>461</v>
      </c>
      <c r="C31" s="511"/>
    </row>
    <row r="32" spans="1:3" s="39" customFormat="1" ht="12.15" customHeight="1" thickBot="1" x14ac:dyDescent="0.3">
      <c r="A32" s="74" t="s">
        <v>20</v>
      </c>
      <c r="B32" s="54" t="s">
        <v>337</v>
      </c>
      <c r="C32" s="502">
        <f>+C33+C34+C35</f>
        <v>0</v>
      </c>
    </row>
    <row r="33" spans="1:3" s="39" customFormat="1" ht="12.15" customHeight="1" x14ac:dyDescent="0.25">
      <c r="A33" s="208" t="s">
        <v>78</v>
      </c>
      <c r="B33" s="209" t="s">
        <v>221</v>
      </c>
      <c r="C33" s="510"/>
    </row>
    <row r="34" spans="1:3" s="39" customFormat="1" ht="12.15" customHeight="1" x14ac:dyDescent="0.25">
      <c r="A34" s="208" t="s">
        <v>79</v>
      </c>
      <c r="B34" s="210" t="s">
        <v>222</v>
      </c>
      <c r="C34" s="505"/>
    </row>
    <row r="35" spans="1:3" s="38" customFormat="1" ht="12.15" customHeight="1" thickBot="1" x14ac:dyDescent="0.3">
      <c r="A35" s="207" t="s">
        <v>80</v>
      </c>
      <c r="B35" s="57" t="s">
        <v>223</v>
      </c>
      <c r="C35" s="511"/>
    </row>
    <row r="36" spans="1:3" s="38" customFormat="1" ht="12.15" customHeight="1" thickBot="1" x14ac:dyDescent="0.3">
      <c r="A36" s="74" t="s">
        <v>21</v>
      </c>
      <c r="B36" s="54" t="s">
        <v>309</v>
      </c>
      <c r="C36" s="509"/>
    </row>
    <row r="37" spans="1:3" s="38" customFormat="1" ht="12.15" customHeight="1" thickBot="1" x14ac:dyDescent="0.3">
      <c r="A37" s="74" t="s">
        <v>22</v>
      </c>
      <c r="B37" s="54" t="s">
        <v>338</v>
      </c>
      <c r="C37" s="512"/>
    </row>
    <row r="38" spans="1:3" s="38" customFormat="1" ht="12.15" customHeight="1" thickBot="1" x14ac:dyDescent="0.3">
      <c r="A38" s="71" t="s">
        <v>23</v>
      </c>
      <c r="B38" s="54" t="s">
        <v>339</v>
      </c>
      <c r="C38" s="513">
        <f>+C9+C21+C26+C27+C32+C36+C37</f>
        <v>0</v>
      </c>
    </row>
    <row r="39" spans="1:3" s="38" customFormat="1" ht="12.15" customHeight="1" thickBot="1" x14ac:dyDescent="0.3">
      <c r="A39" s="85" t="s">
        <v>24</v>
      </c>
      <c r="B39" s="54" t="s">
        <v>340</v>
      </c>
      <c r="C39" s="513">
        <f>+C40+C41+C42</f>
        <v>0</v>
      </c>
    </row>
    <row r="40" spans="1:3" s="38" customFormat="1" ht="12.15" customHeight="1" x14ac:dyDescent="0.25">
      <c r="A40" s="208" t="s">
        <v>341</v>
      </c>
      <c r="B40" s="209" t="s">
        <v>166</v>
      </c>
      <c r="C40" s="510"/>
    </row>
    <row r="41" spans="1:3" s="39" customFormat="1" ht="12.15" customHeight="1" x14ac:dyDescent="0.25">
      <c r="A41" s="208" t="s">
        <v>342</v>
      </c>
      <c r="B41" s="210" t="s">
        <v>6</v>
      </c>
      <c r="C41" s="505"/>
    </row>
    <row r="42" spans="1:3" s="39" customFormat="1" ht="15" customHeight="1" thickBot="1" x14ac:dyDescent="0.3">
      <c r="A42" s="207" t="s">
        <v>343</v>
      </c>
      <c r="B42" s="57" t="s">
        <v>344</v>
      </c>
      <c r="C42" s="511"/>
    </row>
    <row r="43" spans="1:3" s="39" customFormat="1" ht="15" customHeight="1" thickBot="1" x14ac:dyDescent="0.25">
      <c r="A43" s="85" t="s">
        <v>25</v>
      </c>
      <c r="B43" s="86" t="s">
        <v>345</v>
      </c>
      <c r="C43" s="514">
        <f>+C38+C39</f>
        <v>0</v>
      </c>
    </row>
    <row r="44" spans="1:3" x14ac:dyDescent="0.25">
      <c r="A44" s="87"/>
      <c r="B44" s="88"/>
      <c r="C44" s="515"/>
    </row>
    <row r="45" spans="1:3" s="32" customFormat="1" ht="16.5" customHeight="1" thickBot="1" x14ac:dyDescent="0.3">
      <c r="A45" s="89"/>
      <c r="B45" s="90"/>
      <c r="C45" s="516"/>
    </row>
    <row r="46" spans="1:3" s="213" customFormat="1" ht="12.15" customHeight="1" thickBot="1" x14ac:dyDescent="0.3">
      <c r="A46" s="91"/>
      <c r="B46" s="92" t="s">
        <v>53</v>
      </c>
      <c r="C46" s="514"/>
    </row>
    <row r="47" spans="1:3" ht="12.15" customHeight="1" thickBot="1" x14ac:dyDescent="0.3">
      <c r="A47" s="74" t="s">
        <v>16</v>
      </c>
      <c r="B47" s="54" t="s">
        <v>346</v>
      </c>
      <c r="C47" s="124">
        <f>SUM(C48:C52)</f>
        <v>0</v>
      </c>
    </row>
    <row r="48" spans="1:3" ht="12.15" customHeight="1" x14ac:dyDescent="0.25">
      <c r="A48" s="207" t="s">
        <v>85</v>
      </c>
      <c r="B48" s="6" t="s">
        <v>46</v>
      </c>
      <c r="C48" s="34"/>
    </row>
    <row r="49" spans="1:4" ht="12.15" customHeight="1" x14ac:dyDescent="0.25">
      <c r="A49" s="207" t="s">
        <v>86</v>
      </c>
      <c r="B49" s="5" t="s">
        <v>134</v>
      </c>
      <c r="C49" s="36"/>
    </row>
    <row r="50" spans="1:4" ht="12.15" customHeight="1" x14ac:dyDescent="0.25">
      <c r="A50" s="207" t="s">
        <v>87</v>
      </c>
      <c r="B50" s="5" t="s">
        <v>110</v>
      </c>
      <c r="C50" s="504"/>
    </row>
    <row r="51" spans="1:4" ht="12.15" customHeight="1" x14ac:dyDescent="0.25">
      <c r="A51" s="207" t="s">
        <v>88</v>
      </c>
      <c r="B51" s="5" t="s">
        <v>135</v>
      </c>
      <c r="C51" s="504"/>
    </row>
    <row r="52" spans="1:4" ht="12.15" customHeight="1" thickBot="1" x14ac:dyDescent="0.3">
      <c r="A52" s="207" t="s">
        <v>111</v>
      </c>
      <c r="B52" s="5" t="s">
        <v>136</v>
      </c>
      <c r="C52" s="504"/>
    </row>
    <row r="53" spans="1:4" s="213" customFormat="1" ht="12.15" customHeight="1" thickBot="1" x14ac:dyDescent="0.3">
      <c r="A53" s="74" t="s">
        <v>17</v>
      </c>
      <c r="B53" s="54" t="s">
        <v>347</v>
      </c>
      <c r="C53" s="502">
        <f>SUM(C54:C56)</f>
        <v>0</v>
      </c>
    </row>
    <row r="54" spans="1:4" ht="12.15" customHeight="1" x14ac:dyDescent="0.25">
      <c r="A54" s="207" t="s">
        <v>91</v>
      </c>
      <c r="B54" s="6" t="s">
        <v>157</v>
      </c>
      <c r="C54" s="510"/>
    </row>
    <row r="55" spans="1:4" ht="12.15" customHeight="1" x14ac:dyDescent="0.25">
      <c r="A55" s="207" t="s">
        <v>92</v>
      </c>
      <c r="B55" s="5" t="s">
        <v>138</v>
      </c>
      <c r="C55" s="504"/>
    </row>
    <row r="56" spans="1:4" ht="12.15" customHeight="1" x14ac:dyDescent="0.25">
      <c r="A56" s="207" t="s">
        <v>93</v>
      </c>
      <c r="B56" s="5" t="s">
        <v>54</v>
      </c>
      <c r="C56" s="504"/>
    </row>
    <row r="57" spans="1:4" ht="15" customHeight="1" thickBot="1" x14ac:dyDescent="0.3">
      <c r="A57" s="207" t="s">
        <v>94</v>
      </c>
      <c r="B57" s="5" t="s">
        <v>462</v>
      </c>
      <c r="C57" s="504"/>
    </row>
    <row r="58" spans="1:4" ht="13.8" thickBot="1" x14ac:dyDescent="0.3">
      <c r="A58" s="74" t="s">
        <v>18</v>
      </c>
      <c r="B58" s="54" t="s">
        <v>12</v>
      </c>
      <c r="C58" s="509"/>
      <c r="D58" s="31"/>
    </row>
    <row r="59" spans="1:4" ht="15" customHeight="1" thickBot="1" x14ac:dyDescent="0.3">
      <c r="A59" s="74" t="s">
        <v>19</v>
      </c>
      <c r="B59" s="93" t="s">
        <v>463</v>
      </c>
      <c r="C59" s="162">
        <f>+C47+C53+C58</f>
        <v>0</v>
      </c>
    </row>
    <row r="60" spans="1:4" ht="14.25" customHeight="1" thickBot="1" x14ac:dyDescent="0.3">
      <c r="C60" s="518"/>
    </row>
    <row r="61" spans="1:4" ht="13.8" thickBot="1" x14ac:dyDescent="0.3">
      <c r="A61" s="95" t="s">
        <v>456</v>
      </c>
      <c r="B61" s="96"/>
      <c r="C61" s="519">
        <v>0</v>
      </c>
    </row>
    <row r="62" spans="1:4" ht="13.8" thickBot="1" x14ac:dyDescent="0.3">
      <c r="A62" s="1353"/>
      <c r="B62" s="1354"/>
      <c r="C62" s="417"/>
      <c r="D62" s="302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topLeftCell="A49" zoomScale="145" zoomScaleNormal="145" workbookViewId="0">
      <selection activeCell="C60" sqref="C60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4" width="9.33203125" style="301" hidden="1" customWidth="1"/>
    <col min="5" max="5" width="11.77734375" style="609" hidden="1" customWidth="1"/>
    <col min="6" max="6" width="12.44140625" style="609" hidden="1" customWidth="1"/>
    <col min="7" max="7" width="9.33203125" style="301" hidden="1" customWidth="1"/>
    <col min="8" max="8" width="9.33203125" style="301" customWidth="1"/>
    <col min="9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11" ht="12.75" customHeight="1" x14ac:dyDescent="0.25">
      <c r="A1" s="1340" t="str">
        <f>CONCATENATE("31. melléklet"," ",ALAPADATOK!A7," ",ALAPADATOK!B7," ",ALAPADATOK!C7," ",ALAPADATOK!D7," ",ALAPADATOK!E7," ",ALAPADATOK!F7," ",ALAPADATOK!G7," ",ALAPADATOK!H7)</f>
        <v>31. melléklet a …. / 2024. ( .... ) önkormányzati rendelethez</v>
      </c>
      <c r="B1" s="1340"/>
      <c r="C1" s="1340"/>
    </row>
    <row r="2" spans="1:11" s="1" customFormat="1" ht="21.15" customHeight="1" x14ac:dyDescent="0.25">
      <c r="A2" s="75"/>
      <c r="B2" s="76"/>
      <c r="C2" s="307"/>
      <c r="E2" s="609"/>
      <c r="F2" s="609"/>
    </row>
    <row r="3" spans="1:11" s="37" customFormat="1" ht="36" customHeight="1" thickBot="1" x14ac:dyDescent="0.3">
      <c r="A3" s="1290" t="s">
        <v>878</v>
      </c>
      <c r="B3" s="1290"/>
      <c r="C3" s="1290"/>
      <c r="E3" s="462"/>
      <c r="F3" s="462"/>
    </row>
    <row r="4" spans="1:11" ht="13.8" thickBot="1" x14ac:dyDescent="0.3">
      <c r="A4" s="172" t="s">
        <v>153</v>
      </c>
      <c r="B4" s="79" t="s">
        <v>50</v>
      </c>
      <c r="C4" s="311" t="s">
        <v>845</v>
      </c>
    </row>
    <row r="5" spans="1:11" s="32" customFormat="1" ht="12.9" customHeight="1" thickBot="1" x14ac:dyDescent="0.3">
      <c r="A5" s="71" t="s">
        <v>382</v>
      </c>
      <c r="B5" s="72" t="s">
        <v>383</v>
      </c>
      <c r="C5" s="312" t="s">
        <v>384</v>
      </c>
      <c r="E5" s="463"/>
      <c r="F5" s="463"/>
    </row>
    <row r="6" spans="1:11" s="32" customFormat="1" ht="15.9" customHeight="1" thickBot="1" x14ac:dyDescent="0.3">
      <c r="A6" s="81"/>
      <c r="B6" s="82" t="s">
        <v>52</v>
      </c>
      <c r="C6" s="313"/>
      <c r="E6" s="463"/>
      <c r="F6" s="463"/>
    </row>
    <row r="7" spans="1:11" s="38" customFormat="1" ht="12.15" customHeight="1" thickBot="1" x14ac:dyDescent="0.3">
      <c r="A7" s="71" t="s">
        <v>16</v>
      </c>
      <c r="B7" s="84" t="s">
        <v>458</v>
      </c>
      <c r="C7" s="502">
        <f>SUM(C8:C18)</f>
        <v>1740585</v>
      </c>
      <c r="E7" s="464">
        <f>'32. sz. mell TIB  '!C7+'33. sz. mell TIB'!C9</f>
        <v>1740585</v>
      </c>
      <c r="F7" s="464">
        <f>C7-E7</f>
        <v>0</v>
      </c>
      <c r="K7" s="911"/>
    </row>
    <row r="8" spans="1:11" s="38" customFormat="1" ht="12.15" customHeight="1" x14ac:dyDescent="0.25">
      <c r="A8" s="206" t="s">
        <v>85</v>
      </c>
      <c r="B8" s="7" t="s">
        <v>207</v>
      </c>
      <c r="C8" s="503"/>
      <c r="E8" s="464">
        <f>'32. sz. mell TIB  '!C8+'33. sz. mell TIB'!C10</f>
        <v>0</v>
      </c>
      <c r="F8" s="464">
        <f t="shared" ref="F8:F56" si="0">C8-E8</f>
        <v>0</v>
      </c>
      <c r="K8" s="911"/>
    </row>
    <row r="9" spans="1:11" s="38" customFormat="1" ht="12.15" customHeight="1" x14ac:dyDescent="0.25">
      <c r="A9" s="207" t="s">
        <v>86</v>
      </c>
      <c r="B9" s="5" t="s">
        <v>208</v>
      </c>
      <c r="C9" s="504"/>
      <c r="E9" s="464">
        <f>'32. sz. mell TIB  '!C9+'33. sz. mell TIB'!C11</f>
        <v>0</v>
      </c>
      <c r="F9" s="464">
        <f t="shared" si="0"/>
        <v>0</v>
      </c>
    </row>
    <row r="10" spans="1:11" s="38" customFormat="1" ht="12.15" customHeight="1" x14ac:dyDescent="0.25">
      <c r="A10" s="207" t="s">
        <v>87</v>
      </c>
      <c r="B10" s="5" t="s">
        <v>209</v>
      </c>
      <c r="C10" s="504"/>
      <c r="E10" s="464">
        <f>'32. sz. mell TIB  '!C10+'33. sz. mell TIB'!C12</f>
        <v>0</v>
      </c>
      <c r="F10" s="464">
        <f t="shared" si="0"/>
        <v>0</v>
      </c>
    </row>
    <row r="11" spans="1:11" s="38" customFormat="1" ht="12.15" customHeight="1" x14ac:dyDescent="0.25">
      <c r="A11" s="207" t="s">
        <v>88</v>
      </c>
      <c r="B11" s="5" t="s">
        <v>210</v>
      </c>
      <c r="C11" s="504"/>
      <c r="E11" s="464">
        <f>'32. sz. mell TIB  '!C11+'33. sz. mell TIB'!C13</f>
        <v>0</v>
      </c>
      <c r="F11" s="464">
        <f t="shared" si="0"/>
        <v>0</v>
      </c>
    </row>
    <row r="12" spans="1:11" s="38" customFormat="1" ht="12.15" customHeight="1" x14ac:dyDescent="0.25">
      <c r="A12" s="207" t="s">
        <v>111</v>
      </c>
      <c r="B12" s="5" t="s">
        <v>211</v>
      </c>
      <c r="C12" s="504">
        <v>1740585</v>
      </c>
      <c r="E12" s="464">
        <f>'32. sz. mell TIB  '!C12+'33. sz. mell TIB'!C14</f>
        <v>1740585</v>
      </c>
      <c r="F12" s="464">
        <f t="shared" si="0"/>
        <v>0</v>
      </c>
      <c r="K12" s="911"/>
    </row>
    <row r="13" spans="1:11" s="38" customFormat="1" ht="12.15" customHeight="1" x14ac:dyDescent="0.25">
      <c r="A13" s="207" t="s">
        <v>89</v>
      </c>
      <c r="B13" s="5" t="s">
        <v>331</v>
      </c>
      <c r="C13" s="504"/>
      <c r="E13" s="464">
        <f>'32. sz. mell TIB  '!C13+'33. sz. mell TIB'!C15</f>
        <v>0</v>
      </c>
      <c r="F13" s="464">
        <f t="shared" si="0"/>
        <v>0</v>
      </c>
    </row>
    <row r="14" spans="1:11" s="38" customFormat="1" ht="12.15" customHeight="1" x14ac:dyDescent="0.25">
      <c r="A14" s="207" t="s">
        <v>90</v>
      </c>
      <c r="B14" s="4" t="s">
        <v>332</v>
      </c>
      <c r="C14" s="504"/>
      <c r="E14" s="464">
        <f>'32. sz. mell TIB  '!C14+'33. sz. mell TIB'!C16</f>
        <v>0</v>
      </c>
      <c r="F14" s="464">
        <f t="shared" si="0"/>
        <v>0</v>
      </c>
    </row>
    <row r="15" spans="1:11" s="38" customFormat="1" ht="12.15" customHeight="1" x14ac:dyDescent="0.25">
      <c r="A15" s="207" t="s">
        <v>100</v>
      </c>
      <c r="B15" s="5" t="s">
        <v>214</v>
      </c>
      <c r="C15" s="505"/>
      <c r="E15" s="464">
        <f>'32. sz. mell TIB  '!C15+'33. sz. mell TIB'!C17</f>
        <v>0</v>
      </c>
      <c r="F15" s="464">
        <f t="shared" si="0"/>
        <v>0</v>
      </c>
    </row>
    <row r="16" spans="1:11" s="39" customFormat="1" ht="12.15" customHeight="1" x14ac:dyDescent="0.25">
      <c r="A16" s="207" t="s">
        <v>101</v>
      </c>
      <c r="B16" s="5" t="s">
        <v>215</v>
      </c>
      <c r="C16" s="504"/>
      <c r="E16" s="464">
        <f>'32. sz. mell TIB  '!C16+'33. sz. mell TIB'!C18</f>
        <v>0</v>
      </c>
      <c r="F16" s="464">
        <f t="shared" si="0"/>
        <v>0</v>
      </c>
    </row>
    <row r="17" spans="1:6" s="39" customFormat="1" ht="12.15" customHeight="1" x14ac:dyDescent="0.25">
      <c r="A17" s="207" t="s">
        <v>102</v>
      </c>
      <c r="B17" s="5" t="s">
        <v>388</v>
      </c>
      <c r="C17" s="506"/>
      <c r="E17" s="464">
        <f>'32. sz. mell TIB  '!C17+'33. sz. mell TIB'!C19</f>
        <v>0</v>
      </c>
      <c r="F17" s="464">
        <f t="shared" si="0"/>
        <v>0</v>
      </c>
    </row>
    <row r="18" spans="1:6" s="39" customFormat="1" ht="12.15" customHeight="1" thickBot="1" x14ac:dyDescent="0.3">
      <c r="A18" s="207" t="s">
        <v>103</v>
      </c>
      <c r="B18" s="4" t="s">
        <v>216</v>
      </c>
      <c r="C18" s="506"/>
      <c r="E18" s="464">
        <f>'32. sz. mell TIB  '!C18+'33. sz. mell TIB'!C20</f>
        <v>0</v>
      </c>
      <c r="F18" s="464">
        <f t="shared" si="0"/>
        <v>0</v>
      </c>
    </row>
    <row r="19" spans="1:6" s="38" customFormat="1" ht="12.15" customHeight="1" thickBot="1" x14ac:dyDescent="0.3">
      <c r="A19" s="71" t="s">
        <v>17</v>
      </c>
      <c r="B19" s="84" t="s">
        <v>333</v>
      </c>
      <c r="C19" s="502">
        <f>SUM(C20:C22)</f>
        <v>0</v>
      </c>
      <c r="E19" s="464">
        <f>'32. sz. mell TIB  '!C19+'33. sz. mell TIB'!C21</f>
        <v>0</v>
      </c>
      <c r="F19" s="464">
        <f t="shared" si="0"/>
        <v>0</v>
      </c>
    </row>
    <row r="20" spans="1:6" s="39" customFormat="1" ht="12.15" customHeight="1" x14ac:dyDescent="0.25">
      <c r="A20" s="207" t="s">
        <v>91</v>
      </c>
      <c r="B20" s="6" t="s">
        <v>185</v>
      </c>
      <c r="C20" s="507"/>
      <c r="E20" s="464">
        <f>'32. sz. mell TIB  '!C20+'33. sz. mell TIB'!C22</f>
        <v>0</v>
      </c>
      <c r="F20" s="464">
        <f t="shared" si="0"/>
        <v>0</v>
      </c>
    </row>
    <row r="21" spans="1:6" s="39" customFormat="1" ht="12.15" customHeight="1" x14ac:dyDescent="0.25">
      <c r="A21" s="207" t="s">
        <v>92</v>
      </c>
      <c r="B21" s="5" t="s">
        <v>334</v>
      </c>
      <c r="C21" s="504"/>
      <c r="E21" s="464">
        <f>'32. sz. mell TIB  '!C21+'33. sz. mell TIB'!C23</f>
        <v>0</v>
      </c>
      <c r="F21" s="464">
        <f t="shared" si="0"/>
        <v>0</v>
      </c>
    </row>
    <row r="22" spans="1:6" s="39" customFormat="1" ht="12.15" customHeight="1" x14ac:dyDescent="0.25">
      <c r="A22" s="207" t="s">
        <v>93</v>
      </c>
      <c r="B22" s="5" t="s">
        <v>335</v>
      </c>
      <c r="C22" s="508"/>
      <c r="E22" s="464">
        <f>'32. sz. mell TIB  '!C22+'33. sz. mell TIB'!C24</f>
        <v>0</v>
      </c>
      <c r="F22" s="464">
        <f t="shared" si="0"/>
        <v>0</v>
      </c>
    </row>
    <row r="23" spans="1:6" s="39" customFormat="1" ht="12.15" customHeight="1" thickBot="1" x14ac:dyDescent="0.3">
      <c r="A23" s="207" t="s">
        <v>94</v>
      </c>
      <c r="B23" s="5" t="s">
        <v>459</v>
      </c>
      <c r="C23" s="504"/>
      <c r="E23" s="464">
        <f>'32. sz. mell TIB  '!C23+'33. sz. mell TIB'!C25</f>
        <v>0</v>
      </c>
      <c r="F23" s="464">
        <f t="shared" si="0"/>
        <v>0</v>
      </c>
    </row>
    <row r="24" spans="1:6" s="39" customFormat="1" ht="12.15" customHeight="1" thickBot="1" x14ac:dyDescent="0.3">
      <c r="A24" s="74" t="s">
        <v>18</v>
      </c>
      <c r="B24" s="54" t="s">
        <v>125</v>
      </c>
      <c r="C24" s="509"/>
      <c r="E24" s="464">
        <f>'32. sz. mell TIB  '!C24+'33. sz. mell TIB'!C26</f>
        <v>0</v>
      </c>
      <c r="F24" s="464">
        <f t="shared" si="0"/>
        <v>0</v>
      </c>
    </row>
    <row r="25" spans="1:6" s="39" customFormat="1" ht="12.15" customHeight="1" thickBot="1" x14ac:dyDescent="0.3">
      <c r="A25" s="74" t="s">
        <v>19</v>
      </c>
      <c r="B25" s="54" t="s">
        <v>460</v>
      </c>
      <c r="C25" s="502">
        <f>+C26+C27+C28</f>
        <v>0</v>
      </c>
      <c r="E25" s="464">
        <f>'32. sz. mell TIB  '!C25+'33. sz. mell TIB'!C27</f>
        <v>0</v>
      </c>
      <c r="F25" s="464">
        <f t="shared" si="0"/>
        <v>0</v>
      </c>
    </row>
    <row r="26" spans="1:6" s="39" customFormat="1" ht="12.15" customHeight="1" x14ac:dyDescent="0.25">
      <c r="A26" s="208" t="s">
        <v>195</v>
      </c>
      <c r="B26" s="209" t="s">
        <v>190</v>
      </c>
      <c r="C26" s="510"/>
      <c r="E26" s="464">
        <f>'32. sz. mell TIB  '!C26+'33. sz. mell TIB'!C28</f>
        <v>0</v>
      </c>
      <c r="F26" s="464">
        <f t="shared" si="0"/>
        <v>0</v>
      </c>
    </row>
    <row r="27" spans="1:6" s="39" customFormat="1" ht="12.15" customHeight="1" x14ac:dyDescent="0.25">
      <c r="A27" s="208" t="s">
        <v>198</v>
      </c>
      <c r="B27" s="209" t="s">
        <v>334</v>
      </c>
      <c r="C27" s="507"/>
      <c r="E27" s="464">
        <f>'32. sz. mell TIB  '!C27+'33. sz. mell TIB'!C30</f>
        <v>0</v>
      </c>
      <c r="F27" s="464">
        <f t="shared" si="0"/>
        <v>0</v>
      </c>
    </row>
    <row r="28" spans="1:6" s="39" customFormat="1" ht="12.15" customHeight="1" x14ac:dyDescent="0.25">
      <c r="A28" s="208" t="s">
        <v>199</v>
      </c>
      <c r="B28" s="210" t="s">
        <v>336</v>
      </c>
      <c r="C28" s="507"/>
      <c r="E28" s="464">
        <f>'32. sz. mell TIB  '!C28+'33. sz. mell TIB'!C31</f>
        <v>0</v>
      </c>
      <c r="F28" s="464">
        <f t="shared" si="0"/>
        <v>0</v>
      </c>
    </row>
    <row r="29" spans="1:6" s="39" customFormat="1" ht="12.15" customHeight="1" thickBot="1" x14ac:dyDescent="0.3">
      <c r="A29" s="207" t="s">
        <v>200</v>
      </c>
      <c r="B29" s="57" t="s">
        <v>461</v>
      </c>
      <c r="C29" s="511"/>
      <c r="E29" s="464">
        <f>'32. sz. mell TIB  '!C29+'33. sz. mell TIB'!C32</f>
        <v>0</v>
      </c>
      <c r="F29" s="464">
        <f t="shared" si="0"/>
        <v>0</v>
      </c>
    </row>
    <row r="30" spans="1:6" s="39" customFormat="1" ht="12.15" customHeight="1" thickBot="1" x14ac:dyDescent="0.3">
      <c r="A30" s="74" t="s">
        <v>20</v>
      </c>
      <c r="B30" s="54" t="s">
        <v>337</v>
      </c>
      <c r="C30" s="502">
        <f>+C31+C32+C33</f>
        <v>0</v>
      </c>
      <c r="E30" s="464">
        <f>'32. sz. mell TIB  '!C30+'33. sz. mell TIB'!C33</f>
        <v>0</v>
      </c>
      <c r="F30" s="464">
        <f t="shared" si="0"/>
        <v>0</v>
      </c>
    </row>
    <row r="31" spans="1:6" s="39" customFormat="1" ht="12.15" customHeight="1" x14ac:dyDescent="0.25">
      <c r="A31" s="208" t="s">
        <v>78</v>
      </c>
      <c r="B31" s="209" t="s">
        <v>221</v>
      </c>
      <c r="C31" s="510"/>
      <c r="E31" s="464">
        <f>'32. sz. mell TIB  '!C31+'33. sz. mell TIB'!C34</f>
        <v>0</v>
      </c>
      <c r="F31" s="464">
        <f t="shared" si="0"/>
        <v>0</v>
      </c>
    </row>
    <row r="32" spans="1:6" s="39" customFormat="1" ht="12.15" customHeight="1" x14ac:dyDescent="0.25">
      <c r="A32" s="208" t="s">
        <v>79</v>
      </c>
      <c r="B32" s="210" t="s">
        <v>222</v>
      </c>
      <c r="C32" s="505"/>
      <c r="E32" s="464">
        <f>'32. sz. mell TIB  '!C32+'33. sz. mell TIB'!C35</f>
        <v>0</v>
      </c>
      <c r="F32" s="464">
        <f t="shared" si="0"/>
        <v>0</v>
      </c>
    </row>
    <row r="33" spans="1:6" s="38" customFormat="1" ht="12.15" customHeight="1" thickBot="1" x14ac:dyDescent="0.3">
      <c r="A33" s="207" t="s">
        <v>80</v>
      </c>
      <c r="B33" s="57" t="s">
        <v>223</v>
      </c>
      <c r="C33" s="511"/>
      <c r="E33" s="464">
        <f>'32. sz. mell TIB  '!C33+'33. sz. mell TIB'!C36</f>
        <v>0</v>
      </c>
      <c r="F33" s="464">
        <f t="shared" si="0"/>
        <v>0</v>
      </c>
    </row>
    <row r="34" spans="1:6" s="38" customFormat="1" ht="12.15" customHeight="1" thickBot="1" x14ac:dyDescent="0.3">
      <c r="A34" s="74" t="s">
        <v>21</v>
      </c>
      <c r="B34" s="54" t="s">
        <v>309</v>
      </c>
      <c r="C34" s="1023"/>
      <c r="E34" s="464">
        <f>'32. sz. mell TIB  '!C34+'33. sz. mell TIB'!C37</f>
        <v>0</v>
      </c>
      <c r="F34" s="464">
        <f t="shared" si="0"/>
        <v>0</v>
      </c>
    </row>
    <row r="35" spans="1:6" s="38" customFormat="1" ht="12.15" customHeight="1" thickBot="1" x14ac:dyDescent="0.3">
      <c r="A35" s="74" t="s">
        <v>22</v>
      </c>
      <c r="B35" s="54" t="s">
        <v>338</v>
      </c>
      <c r="C35" s="701"/>
      <c r="E35" s="464">
        <f>'32. sz. mell TIB  '!C35+'33. sz. mell TIB'!C38</f>
        <v>0</v>
      </c>
      <c r="F35" s="464">
        <f t="shared" si="0"/>
        <v>0</v>
      </c>
    </row>
    <row r="36" spans="1:6" s="38" customFormat="1" ht="12.15" customHeight="1" thickBot="1" x14ac:dyDescent="0.3">
      <c r="A36" s="71" t="s">
        <v>23</v>
      </c>
      <c r="B36" s="54" t="s">
        <v>339</v>
      </c>
      <c r="C36" s="513">
        <f>+C7+C19+C24+C25+C30+C34+C35</f>
        <v>1740585</v>
      </c>
      <c r="E36" s="464">
        <f>'32. sz. mell TIB  '!C36+'33. sz. mell TIB'!C39</f>
        <v>1740585</v>
      </c>
      <c r="F36" s="464">
        <f t="shared" si="0"/>
        <v>0</v>
      </c>
    </row>
    <row r="37" spans="1:6" s="38" customFormat="1" ht="12.15" customHeight="1" thickBot="1" x14ac:dyDescent="0.3">
      <c r="A37" s="85" t="s">
        <v>24</v>
      </c>
      <c r="B37" s="54" t="s">
        <v>340</v>
      </c>
      <c r="C37" s="634">
        <f>+C38+C39+C40</f>
        <v>193568214</v>
      </c>
      <c r="E37" s="464">
        <f>'32. sz. mell TIB  '!C37+'33. sz. mell TIB'!C40</f>
        <v>193568214</v>
      </c>
      <c r="F37" s="464">
        <f t="shared" si="0"/>
        <v>0</v>
      </c>
    </row>
    <row r="38" spans="1:6" s="38" customFormat="1" ht="12.15" customHeight="1" x14ac:dyDescent="0.25">
      <c r="A38" s="208" t="s">
        <v>341</v>
      </c>
      <c r="B38" s="209" t="s">
        <v>166</v>
      </c>
      <c r="C38" s="510">
        <v>302494</v>
      </c>
      <c r="E38" s="464">
        <f>'32. sz. mell TIB  '!C38+'33. sz. mell TIB'!C41</f>
        <v>302494</v>
      </c>
      <c r="F38" s="464">
        <f t="shared" si="0"/>
        <v>0</v>
      </c>
    </row>
    <row r="39" spans="1:6" s="39" customFormat="1" ht="12.15" customHeight="1" x14ac:dyDescent="0.25">
      <c r="A39" s="208" t="s">
        <v>342</v>
      </c>
      <c r="B39" s="210" t="s">
        <v>6</v>
      </c>
      <c r="C39" s="505"/>
      <c r="E39" s="464">
        <f>'32. sz. mell TIB  '!C39+'33. sz. mell TIB'!C42</f>
        <v>0</v>
      </c>
      <c r="F39" s="464">
        <f t="shared" si="0"/>
        <v>0</v>
      </c>
    </row>
    <row r="40" spans="1:6" s="39" customFormat="1" ht="15" customHeight="1" thickBot="1" x14ac:dyDescent="0.3">
      <c r="A40" s="207" t="s">
        <v>343</v>
      </c>
      <c r="B40" s="57" t="s">
        <v>344</v>
      </c>
      <c r="C40" s="633">
        <v>193265720</v>
      </c>
      <c r="E40" s="464">
        <f>'32. sz. mell TIB  '!C40+'33. sz. mell TIB'!C43</f>
        <v>193265720</v>
      </c>
      <c r="F40" s="464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34">
        <f>+C36+C37</f>
        <v>195308799</v>
      </c>
      <c r="E41" s="464">
        <f>'32. sz. mell TIB  '!C41+'33. sz. mell TIB'!C44</f>
        <v>195308799</v>
      </c>
      <c r="F41" s="464">
        <f t="shared" si="0"/>
        <v>0</v>
      </c>
    </row>
    <row r="42" spans="1:6" s="213" customFormat="1" ht="12.15" customHeight="1" thickBot="1" x14ac:dyDescent="0.3">
      <c r="A42" s="91"/>
      <c r="B42" s="92" t="s">
        <v>53</v>
      </c>
      <c r="C42" s="514"/>
      <c r="E42" s="464">
        <f>'32. sz. mell TIB  '!C42+'33. sz. mell TIB'!C47</f>
        <v>0</v>
      </c>
      <c r="F42" s="464">
        <f t="shared" si="0"/>
        <v>0</v>
      </c>
    </row>
    <row r="43" spans="1:6" ht="12.15" customHeight="1" thickBot="1" x14ac:dyDescent="0.3">
      <c r="A43" s="74" t="s">
        <v>16</v>
      </c>
      <c r="B43" s="54" t="s">
        <v>346</v>
      </c>
      <c r="C43" s="124">
        <f>SUM(C44:C48)</f>
        <v>194800799</v>
      </c>
      <c r="E43" s="464">
        <f>'32. sz. mell TIB  '!C43+'33. sz. mell TIB'!C48</f>
        <v>194800799</v>
      </c>
      <c r="F43" s="464">
        <f t="shared" si="0"/>
        <v>0</v>
      </c>
    </row>
    <row r="44" spans="1:6" ht="12.15" customHeight="1" x14ac:dyDescent="0.25">
      <c r="A44" s="207" t="s">
        <v>85</v>
      </c>
      <c r="B44" s="6" t="s">
        <v>46</v>
      </c>
      <c r="C44" s="251">
        <v>146096955</v>
      </c>
      <c r="E44" s="464">
        <f>'32. sz. mell TIB  '!C44+'33. sz. mell TIB'!C49</f>
        <v>146096955</v>
      </c>
      <c r="F44" s="464">
        <f t="shared" si="0"/>
        <v>0</v>
      </c>
    </row>
    <row r="45" spans="1:6" ht="12.15" customHeight="1" x14ac:dyDescent="0.25">
      <c r="A45" s="207" t="s">
        <v>86</v>
      </c>
      <c r="B45" s="5" t="s">
        <v>134</v>
      </c>
      <c r="C45" s="114">
        <v>19261474</v>
      </c>
      <c r="E45" s="464">
        <f>'32. sz. mell TIB  '!C45+'33. sz. mell TIB'!C50</f>
        <v>19261474</v>
      </c>
      <c r="F45" s="464">
        <f t="shared" si="0"/>
        <v>0</v>
      </c>
    </row>
    <row r="46" spans="1:6" ht="12.15" customHeight="1" x14ac:dyDescent="0.25">
      <c r="A46" s="207" t="s">
        <v>87</v>
      </c>
      <c r="B46" s="5" t="s">
        <v>110</v>
      </c>
      <c r="C46" s="114">
        <v>29442370</v>
      </c>
      <c r="E46" s="464">
        <f>'32. sz. mell TIB  '!C46+'33. sz. mell TIB'!C51</f>
        <v>29442370</v>
      </c>
      <c r="F46" s="464">
        <f t="shared" si="0"/>
        <v>0</v>
      </c>
    </row>
    <row r="47" spans="1:6" ht="12.15" customHeight="1" x14ac:dyDescent="0.25">
      <c r="A47" s="207" t="s">
        <v>88</v>
      </c>
      <c r="B47" s="5" t="s">
        <v>135</v>
      </c>
      <c r="C47" s="504"/>
      <c r="E47" s="464">
        <f>'32. sz. mell TIB  '!C47+'33. sz. mell TIB'!C52</f>
        <v>0</v>
      </c>
      <c r="F47" s="464">
        <f t="shared" si="0"/>
        <v>0</v>
      </c>
    </row>
    <row r="48" spans="1:6" ht="12.15" customHeight="1" thickBot="1" x14ac:dyDescent="0.3">
      <c r="A48" s="207" t="s">
        <v>111</v>
      </c>
      <c r="B48" s="5" t="s">
        <v>136</v>
      </c>
      <c r="C48" s="504"/>
      <c r="E48" s="464">
        <f>'32. sz. mell TIB  '!C48+'33. sz. mell TIB'!C53</f>
        <v>0</v>
      </c>
      <c r="F48" s="464">
        <f t="shared" si="0"/>
        <v>0</v>
      </c>
    </row>
    <row r="49" spans="1:6" s="213" customFormat="1" ht="12.15" customHeight="1" thickBot="1" x14ac:dyDescent="0.3">
      <c r="A49" s="74" t="s">
        <v>17</v>
      </c>
      <c r="B49" s="54" t="s">
        <v>347</v>
      </c>
      <c r="C49" s="502">
        <f>SUM(C50:C52)</f>
        <v>508000</v>
      </c>
      <c r="E49" s="464">
        <f>'32. sz. mell TIB  '!C49+'33. sz. mell TIB'!C54</f>
        <v>508000</v>
      </c>
      <c r="F49" s="464">
        <f t="shared" si="0"/>
        <v>0</v>
      </c>
    </row>
    <row r="50" spans="1:6" ht="12.15" customHeight="1" x14ac:dyDescent="0.25">
      <c r="A50" s="207" t="s">
        <v>91</v>
      </c>
      <c r="B50" s="6" t="s">
        <v>157</v>
      </c>
      <c r="C50" s="34">
        <v>508000</v>
      </c>
      <c r="E50" s="464">
        <f>'32. sz. mell TIB  '!C50+'33. sz. mell TIB'!C55</f>
        <v>508000</v>
      </c>
      <c r="F50" s="464">
        <f t="shared" si="0"/>
        <v>0</v>
      </c>
    </row>
    <row r="51" spans="1:6" ht="12.15" customHeight="1" x14ac:dyDescent="0.25">
      <c r="A51" s="207" t="s">
        <v>92</v>
      </c>
      <c r="B51" s="5" t="s">
        <v>138</v>
      </c>
      <c r="C51" s="504"/>
      <c r="E51" s="464">
        <f>'32. sz. mell TIB  '!C51+'33. sz. mell TIB'!C56</f>
        <v>0</v>
      </c>
      <c r="F51" s="464">
        <f t="shared" si="0"/>
        <v>0</v>
      </c>
    </row>
    <row r="52" spans="1:6" ht="12.15" customHeight="1" x14ac:dyDescent="0.25">
      <c r="A52" s="207" t="s">
        <v>93</v>
      </c>
      <c r="B52" s="5" t="s">
        <v>54</v>
      </c>
      <c r="C52" s="504"/>
      <c r="E52" s="464">
        <f>'32. sz. mell TIB  '!C52+'33. sz. mell TIB'!C57</f>
        <v>0</v>
      </c>
      <c r="F52" s="464">
        <f t="shared" si="0"/>
        <v>0</v>
      </c>
    </row>
    <row r="53" spans="1:6" ht="15" customHeight="1" thickBot="1" x14ac:dyDescent="0.3">
      <c r="A53" s="207" t="s">
        <v>94</v>
      </c>
      <c r="B53" s="5" t="s">
        <v>462</v>
      </c>
      <c r="C53" s="504"/>
      <c r="E53" s="464">
        <f>'32. sz. mell TIB  '!C53+'33. sz. mell TIB'!C58</f>
        <v>0</v>
      </c>
      <c r="F53" s="464">
        <f t="shared" si="0"/>
        <v>0</v>
      </c>
    </row>
    <row r="54" spans="1:6" ht="13.8" thickBot="1" x14ac:dyDescent="0.3">
      <c r="A54" s="74" t="s">
        <v>18</v>
      </c>
      <c r="B54" s="54" t="s">
        <v>12</v>
      </c>
      <c r="C54" s="509"/>
      <c r="E54" s="464">
        <f>'32. sz. mell TIB  '!C54+'33. sz. mell TIB'!C59</f>
        <v>0</v>
      </c>
      <c r="F54" s="464">
        <f t="shared" si="0"/>
        <v>0</v>
      </c>
    </row>
    <row r="55" spans="1:6" ht="15" customHeight="1" thickBot="1" x14ac:dyDescent="0.3">
      <c r="A55" s="74" t="s">
        <v>19</v>
      </c>
      <c r="B55" s="93" t="s">
        <v>463</v>
      </c>
      <c r="C55" s="124">
        <f>+C43+C49+C54</f>
        <v>195308799</v>
      </c>
      <c r="E55" s="464">
        <f>'32. sz. mell TIB  '!C55+'33. sz. mell TIB'!C60</f>
        <v>195308799</v>
      </c>
      <c r="F55" s="464">
        <f t="shared" si="0"/>
        <v>0</v>
      </c>
    </row>
    <row r="56" spans="1:6" ht="13.8" thickBot="1" x14ac:dyDescent="0.3">
      <c r="A56" s="1341" t="s">
        <v>456</v>
      </c>
      <c r="B56" s="1342"/>
      <c r="C56" s="519">
        <v>22</v>
      </c>
      <c r="E56" s="464" t="e">
        <f>'32. sz. mell TIB  '!C56+'33. sz. mell TIB'!#REF!</f>
        <v>#REF!</v>
      </c>
      <c r="F56" s="464" t="e">
        <f t="shared" si="0"/>
        <v>#REF!</v>
      </c>
    </row>
    <row r="57" spans="1:6" x14ac:dyDescent="0.25">
      <c r="E57" s="464"/>
      <c r="F57" s="464"/>
    </row>
    <row r="58" spans="1:6" x14ac:dyDescent="0.25">
      <c r="E58" s="464"/>
      <c r="F58" s="464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topLeftCell="A46" zoomScale="118" zoomScaleNormal="118" workbookViewId="0">
      <selection activeCell="C57" sqref="C57"/>
    </sheetView>
  </sheetViews>
  <sheetFormatPr defaultRowHeight="13.2" x14ac:dyDescent="0.25"/>
  <cols>
    <col min="1" max="1" width="13.77734375" style="94" customWidth="1"/>
    <col min="2" max="2" width="79.109375" style="301" customWidth="1"/>
    <col min="3" max="3" width="25" style="314" customWidth="1"/>
    <col min="4" max="256" width="9.33203125" style="301"/>
    <col min="257" max="257" width="13.77734375" style="301" customWidth="1"/>
    <col min="258" max="258" width="79.109375" style="301" customWidth="1"/>
    <col min="259" max="259" width="25" style="301" customWidth="1"/>
    <col min="260" max="512" width="9.33203125" style="301"/>
    <col min="513" max="513" width="13.77734375" style="301" customWidth="1"/>
    <col min="514" max="514" width="79.109375" style="301" customWidth="1"/>
    <col min="515" max="515" width="25" style="301" customWidth="1"/>
    <col min="516" max="768" width="9.33203125" style="301"/>
    <col min="769" max="769" width="13.77734375" style="301" customWidth="1"/>
    <col min="770" max="770" width="79.109375" style="301" customWidth="1"/>
    <col min="771" max="771" width="25" style="301" customWidth="1"/>
    <col min="772" max="1024" width="9.33203125" style="301"/>
    <col min="1025" max="1025" width="13.77734375" style="301" customWidth="1"/>
    <col min="1026" max="1026" width="79.109375" style="301" customWidth="1"/>
    <col min="1027" max="1027" width="25" style="301" customWidth="1"/>
    <col min="1028" max="1280" width="9.33203125" style="301"/>
    <col min="1281" max="1281" width="13.77734375" style="301" customWidth="1"/>
    <col min="1282" max="1282" width="79.109375" style="301" customWidth="1"/>
    <col min="1283" max="1283" width="25" style="301" customWidth="1"/>
    <col min="1284" max="1536" width="9.33203125" style="301"/>
    <col min="1537" max="1537" width="13.77734375" style="301" customWidth="1"/>
    <col min="1538" max="1538" width="79.109375" style="301" customWidth="1"/>
    <col min="1539" max="1539" width="25" style="301" customWidth="1"/>
    <col min="1540" max="1792" width="9.33203125" style="301"/>
    <col min="1793" max="1793" width="13.77734375" style="301" customWidth="1"/>
    <col min="1794" max="1794" width="79.109375" style="301" customWidth="1"/>
    <col min="1795" max="1795" width="25" style="301" customWidth="1"/>
    <col min="1796" max="2048" width="9.33203125" style="301"/>
    <col min="2049" max="2049" width="13.77734375" style="301" customWidth="1"/>
    <col min="2050" max="2050" width="79.109375" style="301" customWidth="1"/>
    <col min="2051" max="2051" width="25" style="301" customWidth="1"/>
    <col min="2052" max="2304" width="9.33203125" style="301"/>
    <col min="2305" max="2305" width="13.77734375" style="301" customWidth="1"/>
    <col min="2306" max="2306" width="79.109375" style="301" customWidth="1"/>
    <col min="2307" max="2307" width="25" style="301" customWidth="1"/>
    <col min="2308" max="2560" width="9.33203125" style="301"/>
    <col min="2561" max="2561" width="13.77734375" style="301" customWidth="1"/>
    <col min="2562" max="2562" width="79.109375" style="301" customWidth="1"/>
    <col min="2563" max="2563" width="25" style="301" customWidth="1"/>
    <col min="2564" max="2816" width="9.33203125" style="301"/>
    <col min="2817" max="2817" width="13.77734375" style="301" customWidth="1"/>
    <col min="2818" max="2818" width="79.109375" style="301" customWidth="1"/>
    <col min="2819" max="2819" width="25" style="301" customWidth="1"/>
    <col min="2820" max="3072" width="9.33203125" style="301"/>
    <col min="3073" max="3073" width="13.77734375" style="301" customWidth="1"/>
    <col min="3074" max="3074" width="79.109375" style="301" customWidth="1"/>
    <col min="3075" max="3075" width="25" style="301" customWidth="1"/>
    <col min="3076" max="3328" width="9.33203125" style="301"/>
    <col min="3329" max="3329" width="13.77734375" style="301" customWidth="1"/>
    <col min="3330" max="3330" width="79.109375" style="301" customWidth="1"/>
    <col min="3331" max="3331" width="25" style="301" customWidth="1"/>
    <col min="3332" max="3584" width="9.33203125" style="301"/>
    <col min="3585" max="3585" width="13.77734375" style="301" customWidth="1"/>
    <col min="3586" max="3586" width="79.109375" style="301" customWidth="1"/>
    <col min="3587" max="3587" width="25" style="301" customWidth="1"/>
    <col min="3588" max="3840" width="9.33203125" style="301"/>
    <col min="3841" max="3841" width="13.77734375" style="301" customWidth="1"/>
    <col min="3842" max="3842" width="79.109375" style="301" customWidth="1"/>
    <col min="3843" max="3843" width="25" style="301" customWidth="1"/>
    <col min="3844" max="4096" width="9.33203125" style="301"/>
    <col min="4097" max="4097" width="13.77734375" style="301" customWidth="1"/>
    <col min="4098" max="4098" width="79.109375" style="301" customWidth="1"/>
    <col min="4099" max="4099" width="25" style="301" customWidth="1"/>
    <col min="4100" max="4352" width="9.33203125" style="301"/>
    <col min="4353" max="4353" width="13.77734375" style="301" customWidth="1"/>
    <col min="4354" max="4354" width="79.109375" style="301" customWidth="1"/>
    <col min="4355" max="4355" width="25" style="301" customWidth="1"/>
    <col min="4356" max="4608" width="9.33203125" style="301"/>
    <col min="4609" max="4609" width="13.77734375" style="301" customWidth="1"/>
    <col min="4610" max="4610" width="79.109375" style="301" customWidth="1"/>
    <col min="4611" max="4611" width="25" style="301" customWidth="1"/>
    <col min="4612" max="4864" width="9.33203125" style="301"/>
    <col min="4865" max="4865" width="13.77734375" style="301" customWidth="1"/>
    <col min="4866" max="4866" width="79.109375" style="301" customWidth="1"/>
    <col min="4867" max="4867" width="25" style="301" customWidth="1"/>
    <col min="4868" max="5120" width="9.33203125" style="301"/>
    <col min="5121" max="5121" width="13.77734375" style="301" customWidth="1"/>
    <col min="5122" max="5122" width="79.109375" style="301" customWidth="1"/>
    <col min="5123" max="5123" width="25" style="301" customWidth="1"/>
    <col min="5124" max="5376" width="9.33203125" style="301"/>
    <col min="5377" max="5377" width="13.77734375" style="301" customWidth="1"/>
    <col min="5378" max="5378" width="79.109375" style="301" customWidth="1"/>
    <col min="5379" max="5379" width="25" style="301" customWidth="1"/>
    <col min="5380" max="5632" width="9.33203125" style="301"/>
    <col min="5633" max="5633" width="13.77734375" style="301" customWidth="1"/>
    <col min="5634" max="5634" width="79.109375" style="301" customWidth="1"/>
    <col min="5635" max="5635" width="25" style="301" customWidth="1"/>
    <col min="5636" max="5888" width="9.33203125" style="301"/>
    <col min="5889" max="5889" width="13.77734375" style="301" customWidth="1"/>
    <col min="5890" max="5890" width="79.109375" style="301" customWidth="1"/>
    <col min="5891" max="5891" width="25" style="301" customWidth="1"/>
    <col min="5892" max="6144" width="9.33203125" style="301"/>
    <col min="6145" max="6145" width="13.77734375" style="301" customWidth="1"/>
    <col min="6146" max="6146" width="79.109375" style="301" customWidth="1"/>
    <col min="6147" max="6147" width="25" style="301" customWidth="1"/>
    <col min="6148" max="6400" width="9.33203125" style="301"/>
    <col min="6401" max="6401" width="13.77734375" style="301" customWidth="1"/>
    <col min="6402" max="6402" width="79.109375" style="301" customWidth="1"/>
    <col min="6403" max="6403" width="25" style="301" customWidth="1"/>
    <col min="6404" max="6656" width="9.33203125" style="301"/>
    <col min="6657" max="6657" width="13.77734375" style="301" customWidth="1"/>
    <col min="6658" max="6658" width="79.109375" style="301" customWidth="1"/>
    <col min="6659" max="6659" width="25" style="301" customWidth="1"/>
    <col min="6660" max="6912" width="9.33203125" style="301"/>
    <col min="6913" max="6913" width="13.77734375" style="301" customWidth="1"/>
    <col min="6914" max="6914" width="79.109375" style="301" customWidth="1"/>
    <col min="6915" max="6915" width="25" style="301" customWidth="1"/>
    <col min="6916" max="7168" width="9.33203125" style="301"/>
    <col min="7169" max="7169" width="13.77734375" style="301" customWidth="1"/>
    <col min="7170" max="7170" width="79.109375" style="301" customWidth="1"/>
    <col min="7171" max="7171" width="25" style="301" customWidth="1"/>
    <col min="7172" max="7424" width="9.33203125" style="301"/>
    <col min="7425" max="7425" width="13.77734375" style="301" customWidth="1"/>
    <col min="7426" max="7426" width="79.109375" style="301" customWidth="1"/>
    <col min="7427" max="7427" width="25" style="301" customWidth="1"/>
    <col min="7428" max="7680" width="9.33203125" style="301"/>
    <col min="7681" max="7681" width="13.77734375" style="301" customWidth="1"/>
    <col min="7682" max="7682" width="79.109375" style="301" customWidth="1"/>
    <col min="7683" max="7683" width="25" style="301" customWidth="1"/>
    <col min="7684" max="7936" width="9.33203125" style="301"/>
    <col min="7937" max="7937" width="13.77734375" style="301" customWidth="1"/>
    <col min="7938" max="7938" width="79.109375" style="301" customWidth="1"/>
    <col min="7939" max="7939" width="25" style="301" customWidth="1"/>
    <col min="7940" max="8192" width="9.33203125" style="301"/>
    <col min="8193" max="8193" width="13.77734375" style="301" customWidth="1"/>
    <col min="8194" max="8194" width="79.109375" style="301" customWidth="1"/>
    <col min="8195" max="8195" width="25" style="301" customWidth="1"/>
    <col min="8196" max="8448" width="9.33203125" style="301"/>
    <col min="8449" max="8449" width="13.77734375" style="301" customWidth="1"/>
    <col min="8450" max="8450" width="79.109375" style="301" customWidth="1"/>
    <col min="8451" max="8451" width="25" style="301" customWidth="1"/>
    <col min="8452" max="8704" width="9.33203125" style="301"/>
    <col min="8705" max="8705" width="13.77734375" style="301" customWidth="1"/>
    <col min="8706" max="8706" width="79.109375" style="301" customWidth="1"/>
    <col min="8707" max="8707" width="25" style="301" customWidth="1"/>
    <col min="8708" max="8960" width="9.33203125" style="301"/>
    <col min="8961" max="8961" width="13.77734375" style="301" customWidth="1"/>
    <col min="8962" max="8962" width="79.109375" style="301" customWidth="1"/>
    <col min="8963" max="8963" width="25" style="301" customWidth="1"/>
    <col min="8964" max="9216" width="9.33203125" style="301"/>
    <col min="9217" max="9217" width="13.77734375" style="301" customWidth="1"/>
    <col min="9218" max="9218" width="79.109375" style="301" customWidth="1"/>
    <col min="9219" max="9219" width="25" style="301" customWidth="1"/>
    <col min="9220" max="9472" width="9.33203125" style="301"/>
    <col min="9473" max="9473" width="13.77734375" style="301" customWidth="1"/>
    <col min="9474" max="9474" width="79.109375" style="301" customWidth="1"/>
    <col min="9475" max="9475" width="25" style="301" customWidth="1"/>
    <col min="9476" max="9728" width="9.33203125" style="301"/>
    <col min="9729" max="9729" width="13.77734375" style="301" customWidth="1"/>
    <col min="9730" max="9730" width="79.109375" style="301" customWidth="1"/>
    <col min="9731" max="9731" width="25" style="301" customWidth="1"/>
    <col min="9732" max="9984" width="9.33203125" style="301"/>
    <col min="9985" max="9985" width="13.77734375" style="301" customWidth="1"/>
    <col min="9986" max="9986" width="79.109375" style="301" customWidth="1"/>
    <col min="9987" max="9987" width="25" style="301" customWidth="1"/>
    <col min="9988" max="10240" width="9.33203125" style="301"/>
    <col min="10241" max="10241" width="13.77734375" style="301" customWidth="1"/>
    <col min="10242" max="10242" width="79.109375" style="301" customWidth="1"/>
    <col min="10243" max="10243" width="25" style="301" customWidth="1"/>
    <col min="10244" max="10496" width="9.33203125" style="301"/>
    <col min="10497" max="10497" width="13.77734375" style="301" customWidth="1"/>
    <col min="10498" max="10498" width="79.109375" style="301" customWidth="1"/>
    <col min="10499" max="10499" width="25" style="301" customWidth="1"/>
    <col min="10500" max="10752" width="9.33203125" style="301"/>
    <col min="10753" max="10753" width="13.77734375" style="301" customWidth="1"/>
    <col min="10754" max="10754" width="79.109375" style="301" customWidth="1"/>
    <col min="10755" max="10755" width="25" style="301" customWidth="1"/>
    <col min="10756" max="11008" width="9.33203125" style="301"/>
    <col min="11009" max="11009" width="13.77734375" style="301" customWidth="1"/>
    <col min="11010" max="11010" width="79.109375" style="301" customWidth="1"/>
    <col min="11011" max="11011" width="25" style="301" customWidth="1"/>
    <col min="11012" max="11264" width="9.33203125" style="301"/>
    <col min="11265" max="11265" width="13.77734375" style="301" customWidth="1"/>
    <col min="11266" max="11266" width="79.109375" style="301" customWidth="1"/>
    <col min="11267" max="11267" width="25" style="301" customWidth="1"/>
    <col min="11268" max="11520" width="9.33203125" style="301"/>
    <col min="11521" max="11521" width="13.77734375" style="301" customWidth="1"/>
    <col min="11522" max="11522" width="79.109375" style="301" customWidth="1"/>
    <col min="11523" max="11523" width="25" style="301" customWidth="1"/>
    <col min="11524" max="11776" width="9.33203125" style="301"/>
    <col min="11777" max="11777" width="13.77734375" style="301" customWidth="1"/>
    <col min="11778" max="11778" width="79.109375" style="301" customWidth="1"/>
    <col min="11779" max="11779" width="25" style="301" customWidth="1"/>
    <col min="11780" max="12032" width="9.33203125" style="301"/>
    <col min="12033" max="12033" width="13.77734375" style="301" customWidth="1"/>
    <col min="12034" max="12034" width="79.109375" style="301" customWidth="1"/>
    <col min="12035" max="12035" width="25" style="301" customWidth="1"/>
    <col min="12036" max="12288" width="9.33203125" style="301"/>
    <col min="12289" max="12289" width="13.77734375" style="301" customWidth="1"/>
    <col min="12290" max="12290" width="79.109375" style="301" customWidth="1"/>
    <col min="12291" max="12291" width="25" style="301" customWidth="1"/>
    <col min="12292" max="12544" width="9.33203125" style="301"/>
    <col min="12545" max="12545" width="13.77734375" style="301" customWidth="1"/>
    <col min="12546" max="12546" width="79.109375" style="301" customWidth="1"/>
    <col min="12547" max="12547" width="25" style="301" customWidth="1"/>
    <col min="12548" max="12800" width="9.33203125" style="301"/>
    <col min="12801" max="12801" width="13.77734375" style="301" customWidth="1"/>
    <col min="12802" max="12802" width="79.109375" style="301" customWidth="1"/>
    <col min="12803" max="12803" width="25" style="301" customWidth="1"/>
    <col min="12804" max="13056" width="9.33203125" style="301"/>
    <col min="13057" max="13057" width="13.77734375" style="301" customWidth="1"/>
    <col min="13058" max="13058" width="79.109375" style="301" customWidth="1"/>
    <col min="13059" max="13059" width="25" style="301" customWidth="1"/>
    <col min="13060" max="13312" width="9.33203125" style="301"/>
    <col min="13313" max="13313" width="13.77734375" style="301" customWidth="1"/>
    <col min="13314" max="13314" width="79.109375" style="301" customWidth="1"/>
    <col min="13315" max="13315" width="25" style="301" customWidth="1"/>
    <col min="13316" max="13568" width="9.33203125" style="301"/>
    <col min="13569" max="13569" width="13.77734375" style="301" customWidth="1"/>
    <col min="13570" max="13570" width="79.109375" style="301" customWidth="1"/>
    <col min="13571" max="13571" width="25" style="301" customWidth="1"/>
    <col min="13572" max="13824" width="9.33203125" style="301"/>
    <col min="13825" max="13825" width="13.77734375" style="301" customWidth="1"/>
    <col min="13826" max="13826" width="79.109375" style="301" customWidth="1"/>
    <col min="13827" max="13827" width="25" style="301" customWidth="1"/>
    <col min="13828" max="14080" width="9.33203125" style="301"/>
    <col min="14081" max="14081" width="13.77734375" style="301" customWidth="1"/>
    <col min="14082" max="14082" width="79.109375" style="301" customWidth="1"/>
    <col min="14083" max="14083" width="25" style="301" customWidth="1"/>
    <col min="14084" max="14336" width="9.33203125" style="301"/>
    <col min="14337" max="14337" width="13.77734375" style="301" customWidth="1"/>
    <col min="14338" max="14338" width="79.109375" style="301" customWidth="1"/>
    <col min="14339" max="14339" width="25" style="301" customWidth="1"/>
    <col min="14340" max="14592" width="9.33203125" style="301"/>
    <col min="14593" max="14593" width="13.77734375" style="301" customWidth="1"/>
    <col min="14594" max="14594" width="79.109375" style="301" customWidth="1"/>
    <col min="14595" max="14595" width="25" style="301" customWidth="1"/>
    <col min="14596" max="14848" width="9.33203125" style="301"/>
    <col min="14849" max="14849" width="13.77734375" style="301" customWidth="1"/>
    <col min="14850" max="14850" width="79.109375" style="301" customWidth="1"/>
    <col min="14851" max="14851" width="25" style="301" customWidth="1"/>
    <col min="14852" max="15104" width="9.33203125" style="301"/>
    <col min="15105" max="15105" width="13.77734375" style="301" customWidth="1"/>
    <col min="15106" max="15106" width="79.109375" style="301" customWidth="1"/>
    <col min="15107" max="15107" width="25" style="301" customWidth="1"/>
    <col min="15108" max="15360" width="9.33203125" style="301"/>
    <col min="15361" max="15361" width="13.77734375" style="301" customWidth="1"/>
    <col min="15362" max="15362" width="79.109375" style="301" customWidth="1"/>
    <col min="15363" max="15363" width="25" style="301" customWidth="1"/>
    <col min="15364" max="15616" width="9.33203125" style="301"/>
    <col min="15617" max="15617" width="13.77734375" style="301" customWidth="1"/>
    <col min="15618" max="15618" width="79.109375" style="301" customWidth="1"/>
    <col min="15619" max="15619" width="25" style="301" customWidth="1"/>
    <col min="15620" max="15872" width="9.33203125" style="301"/>
    <col min="15873" max="15873" width="13.77734375" style="301" customWidth="1"/>
    <col min="15874" max="15874" width="79.109375" style="301" customWidth="1"/>
    <col min="15875" max="15875" width="25" style="301" customWidth="1"/>
    <col min="15876" max="16128" width="9.33203125" style="301"/>
    <col min="16129" max="16129" width="13.77734375" style="301" customWidth="1"/>
    <col min="16130" max="16130" width="79.109375" style="301" customWidth="1"/>
    <col min="16131" max="16131" width="25" style="301" customWidth="1"/>
    <col min="16132" max="16384" width="9.33203125" style="301"/>
  </cols>
  <sheetData>
    <row r="1" spans="1:6" ht="12.75" customHeight="1" x14ac:dyDescent="0.25">
      <c r="A1" s="1340" t="str">
        <f>CONCATENATE("32. melléklet"," ",ALAPADATOK!A7," ",ALAPADATOK!B7," ",ALAPADATOK!C7," ",ALAPADATOK!D7," ",ALAPADATOK!E7," ",ALAPADATOK!F7," ",ALAPADATOK!G7," ",ALAPADATOK!H7)</f>
        <v>32. melléklet a …. / 2024. ( .... ) önkormányzati rendelethez</v>
      </c>
      <c r="B1" s="1340"/>
      <c r="C1" s="1340"/>
    </row>
    <row r="2" spans="1:6" s="1" customFormat="1" ht="21.15" customHeight="1" x14ac:dyDescent="0.25">
      <c r="A2" s="75"/>
      <c r="B2" s="76"/>
      <c r="C2" s="307"/>
    </row>
    <row r="3" spans="1:6" s="37" customFormat="1" ht="36" customHeight="1" thickBot="1" x14ac:dyDescent="0.3">
      <c r="A3" s="1290" t="s">
        <v>879</v>
      </c>
      <c r="B3" s="1290"/>
      <c r="C3" s="1290"/>
    </row>
    <row r="4" spans="1:6" ht="13.8" thickBot="1" x14ac:dyDescent="0.3">
      <c r="A4" s="172" t="s">
        <v>153</v>
      </c>
      <c r="B4" s="79" t="s">
        <v>50</v>
      </c>
      <c r="C4" s="311" t="s">
        <v>845</v>
      </c>
    </row>
    <row r="5" spans="1:6" s="32" customFormat="1" ht="12.9" customHeight="1" thickBot="1" x14ac:dyDescent="0.3">
      <c r="A5" s="71" t="s">
        <v>382</v>
      </c>
      <c r="B5" s="72" t="s">
        <v>383</v>
      </c>
      <c r="C5" s="312" t="s">
        <v>384</v>
      </c>
    </row>
    <row r="6" spans="1:6" s="32" customFormat="1" ht="15.9" customHeight="1" thickBot="1" x14ac:dyDescent="0.3">
      <c r="A6" s="81"/>
      <c r="B6" s="82" t="s">
        <v>52</v>
      </c>
      <c r="C6" s="313"/>
      <c r="E6" s="911"/>
    </row>
    <row r="7" spans="1:6" s="38" customFormat="1" ht="12.15" customHeight="1" thickBot="1" x14ac:dyDescent="0.3">
      <c r="A7" s="71" t="s">
        <v>16</v>
      </c>
      <c r="B7" s="84" t="s">
        <v>458</v>
      </c>
      <c r="C7" s="502">
        <f>SUM(C8:C18)</f>
        <v>1740585</v>
      </c>
      <c r="E7" s="911"/>
    </row>
    <row r="8" spans="1:6" s="38" customFormat="1" ht="12.15" customHeight="1" x14ac:dyDescent="0.25">
      <c r="A8" s="206" t="s">
        <v>85</v>
      </c>
      <c r="B8" s="7" t="s">
        <v>207</v>
      </c>
      <c r="C8" s="503"/>
      <c r="F8" s="912"/>
    </row>
    <row r="9" spans="1:6" s="38" customFormat="1" ht="12.15" customHeight="1" x14ac:dyDescent="0.25">
      <c r="A9" s="207" t="s">
        <v>86</v>
      </c>
      <c r="B9" s="5" t="s">
        <v>208</v>
      </c>
      <c r="C9" s="504"/>
    </row>
    <row r="10" spans="1:6" s="38" customFormat="1" ht="12.15" customHeight="1" x14ac:dyDescent="0.25">
      <c r="A10" s="207" t="s">
        <v>87</v>
      </c>
      <c r="B10" s="5" t="s">
        <v>209</v>
      </c>
      <c r="C10" s="504"/>
    </row>
    <row r="11" spans="1:6" s="38" customFormat="1" ht="12.15" customHeight="1" x14ac:dyDescent="0.25">
      <c r="A11" s="207" t="s">
        <v>88</v>
      </c>
      <c r="B11" s="5" t="s">
        <v>210</v>
      </c>
      <c r="C11" s="504"/>
    </row>
    <row r="12" spans="1:6" s="38" customFormat="1" ht="12.15" customHeight="1" x14ac:dyDescent="0.25">
      <c r="A12" s="207" t="s">
        <v>111</v>
      </c>
      <c r="B12" s="5" t="s">
        <v>211</v>
      </c>
      <c r="C12" s="504">
        <v>1740585</v>
      </c>
    </row>
    <row r="13" spans="1:6" s="38" customFormat="1" ht="12.15" customHeight="1" x14ac:dyDescent="0.25">
      <c r="A13" s="207" t="s">
        <v>89</v>
      </c>
      <c r="B13" s="5" t="s">
        <v>331</v>
      </c>
      <c r="C13" s="504"/>
    </row>
    <row r="14" spans="1:6" s="38" customFormat="1" ht="12.15" customHeight="1" x14ac:dyDescent="0.25">
      <c r="A14" s="207" t="s">
        <v>90</v>
      </c>
      <c r="B14" s="4" t="s">
        <v>332</v>
      </c>
      <c r="C14" s="504"/>
    </row>
    <row r="15" spans="1:6" s="38" customFormat="1" ht="12.15" customHeight="1" x14ac:dyDescent="0.25">
      <c r="A15" s="207" t="s">
        <v>100</v>
      </c>
      <c r="B15" s="5" t="s">
        <v>214</v>
      </c>
      <c r="C15" s="505"/>
    </row>
    <row r="16" spans="1:6" s="39" customFormat="1" ht="12.15" customHeight="1" x14ac:dyDescent="0.25">
      <c r="A16" s="207" t="s">
        <v>101</v>
      </c>
      <c r="B16" s="5" t="s">
        <v>215</v>
      </c>
      <c r="C16" s="504"/>
    </row>
    <row r="17" spans="1:3" s="39" customFormat="1" ht="12.15" customHeight="1" x14ac:dyDescent="0.25">
      <c r="A17" s="207" t="s">
        <v>102</v>
      </c>
      <c r="B17" s="5" t="s">
        <v>388</v>
      </c>
      <c r="C17" s="506"/>
    </row>
    <row r="18" spans="1:3" s="39" customFormat="1" ht="12.15" customHeight="1" thickBot="1" x14ac:dyDescent="0.3">
      <c r="A18" s="207" t="s">
        <v>103</v>
      </c>
      <c r="B18" s="4" t="s">
        <v>216</v>
      </c>
      <c r="C18" s="506"/>
    </row>
    <row r="19" spans="1:3" s="38" customFormat="1" ht="12.15" customHeight="1" thickBot="1" x14ac:dyDescent="0.3">
      <c r="A19" s="71" t="s">
        <v>17</v>
      </c>
      <c r="B19" s="84" t="s">
        <v>333</v>
      </c>
      <c r="C19" s="502">
        <f>SUM(C20:C22)</f>
        <v>0</v>
      </c>
    </row>
    <row r="20" spans="1:3" s="39" customFormat="1" ht="12.15" customHeight="1" x14ac:dyDescent="0.25">
      <c r="A20" s="207" t="s">
        <v>91</v>
      </c>
      <c r="B20" s="6" t="s">
        <v>185</v>
      </c>
      <c r="C20" s="507"/>
    </row>
    <row r="21" spans="1:3" s="39" customFormat="1" ht="12.15" customHeight="1" x14ac:dyDescent="0.25">
      <c r="A21" s="207" t="s">
        <v>92</v>
      </c>
      <c r="B21" s="5" t="s">
        <v>334</v>
      </c>
      <c r="C21" s="504"/>
    </row>
    <row r="22" spans="1:3" s="39" customFormat="1" ht="12.15" customHeight="1" x14ac:dyDescent="0.25">
      <c r="A22" s="207" t="s">
        <v>93</v>
      </c>
      <c r="B22" s="5" t="s">
        <v>335</v>
      </c>
      <c r="C22" s="508"/>
    </row>
    <row r="23" spans="1:3" s="39" customFormat="1" ht="12.15" customHeight="1" thickBot="1" x14ac:dyDescent="0.3">
      <c r="A23" s="207" t="s">
        <v>94</v>
      </c>
      <c r="B23" s="5" t="s">
        <v>459</v>
      </c>
      <c r="C23" s="504"/>
    </row>
    <row r="24" spans="1:3" s="39" customFormat="1" ht="12.15" customHeight="1" thickBot="1" x14ac:dyDescent="0.3">
      <c r="A24" s="74" t="s">
        <v>18</v>
      </c>
      <c r="B24" s="54" t="s">
        <v>125</v>
      </c>
      <c r="C24" s="509"/>
    </row>
    <row r="25" spans="1:3" s="39" customFormat="1" ht="12.15" customHeight="1" thickBot="1" x14ac:dyDescent="0.3">
      <c r="A25" s="74" t="s">
        <v>19</v>
      </c>
      <c r="B25" s="54" t="s">
        <v>460</v>
      </c>
      <c r="C25" s="502">
        <f>+C26+C27+C28</f>
        <v>0</v>
      </c>
    </row>
    <row r="26" spans="1:3" s="39" customFormat="1" ht="12.15" customHeight="1" x14ac:dyDescent="0.25">
      <c r="A26" s="208" t="s">
        <v>195</v>
      </c>
      <c r="B26" s="209" t="s">
        <v>190</v>
      </c>
      <c r="C26" s="510"/>
    </row>
    <row r="27" spans="1:3" s="39" customFormat="1" ht="12.15" customHeight="1" x14ac:dyDescent="0.25">
      <c r="A27" s="208" t="s">
        <v>198</v>
      </c>
      <c r="B27" s="209" t="s">
        <v>334</v>
      </c>
      <c r="C27" s="507"/>
    </row>
    <row r="28" spans="1:3" s="39" customFormat="1" ht="12.15" customHeight="1" x14ac:dyDescent="0.25">
      <c r="A28" s="208" t="s">
        <v>199</v>
      </c>
      <c r="B28" s="210" t="s">
        <v>336</v>
      </c>
      <c r="C28" s="507"/>
    </row>
    <row r="29" spans="1:3" s="39" customFormat="1" ht="12.15" customHeight="1" thickBot="1" x14ac:dyDescent="0.3">
      <c r="A29" s="207" t="s">
        <v>200</v>
      </c>
      <c r="B29" s="57" t="s">
        <v>461</v>
      </c>
      <c r="C29" s="511"/>
    </row>
    <row r="30" spans="1:3" s="39" customFormat="1" ht="12.15" customHeight="1" thickBot="1" x14ac:dyDescent="0.3">
      <c r="A30" s="74" t="s">
        <v>20</v>
      </c>
      <c r="B30" s="54" t="s">
        <v>337</v>
      </c>
      <c r="C30" s="502">
        <f>+C31+C32+C33</f>
        <v>0</v>
      </c>
    </row>
    <row r="31" spans="1:3" s="39" customFormat="1" ht="12.15" customHeight="1" x14ac:dyDescent="0.25">
      <c r="A31" s="208" t="s">
        <v>78</v>
      </c>
      <c r="B31" s="209" t="s">
        <v>221</v>
      </c>
      <c r="C31" s="510"/>
    </row>
    <row r="32" spans="1:3" s="39" customFormat="1" ht="12.15" customHeight="1" x14ac:dyDescent="0.25">
      <c r="A32" s="208" t="s">
        <v>79</v>
      </c>
      <c r="B32" s="210" t="s">
        <v>222</v>
      </c>
      <c r="C32" s="505"/>
    </row>
    <row r="33" spans="1:3" s="38" customFormat="1" ht="12.15" customHeight="1" thickBot="1" x14ac:dyDescent="0.3">
      <c r="A33" s="207" t="s">
        <v>80</v>
      </c>
      <c r="B33" s="57" t="s">
        <v>223</v>
      </c>
      <c r="C33" s="511"/>
    </row>
    <row r="34" spans="1:3" s="38" customFormat="1" ht="12.15" customHeight="1" thickBot="1" x14ac:dyDescent="0.3">
      <c r="A34" s="74" t="s">
        <v>21</v>
      </c>
      <c r="B34" s="54" t="s">
        <v>309</v>
      </c>
      <c r="C34" s="1023"/>
    </row>
    <row r="35" spans="1:3" s="38" customFormat="1" ht="12.15" customHeight="1" thickBot="1" x14ac:dyDescent="0.3">
      <c r="A35" s="74" t="s">
        <v>22</v>
      </c>
      <c r="B35" s="54" t="s">
        <v>338</v>
      </c>
      <c r="C35" s="1111"/>
    </row>
    <row r="36" spans="1:3" s="38" customFormat="1" ht="12.15" customHeight="1" thickBot="1" x14ac:dyDescent="0.3">
      <c r="A36" s="71" t="s">
        <v>23</v>
      </c>
      <c r="B36" s="54" t="s">
        <v>339</v>
      </c>
      <c r="C36" s="513">
        <f>+C7+C19+C24+C25+C30+C34+C35</f>
        <v>1740585</v>
      </c>
    </row>
    <row r="37" spans="1:3" s="38" customFormat="1" ht="12.15" customHeight="1" thickBot="1" x14ac:dyDescent="0.3">
      <c r="A37" s="85" t="s">
        <v>24</v>
      </c>
      <c r="B37" s="54" t="s">
        <v>340</v>
      </c>
      <c r="C37" s="634">
        <f>+C38+C39+C40</f>
        <v>193568214</v>
      </c>
    </row>
    <row r="38" spans="1:3" s="38" customFormat="1" ht="12.15" customHeight="1" x14ac:dyDescent="0.25">
      <c r="A38" s="208" t="s">
        <v>341</v>
      </c>
      <c r="B38" s="209" t="s">
        <v>166</v>
      </c>
      <c r="C38" s="510">
        <v>302494</v>
      </c>
    </row>
    <row r="39" spans="1:3" s="39" customFormat="1" ht="12.15" customHeight="1" x14ac:dyDescent="0.25">
      <c r="A39" s="208" t="s">
        <v>342</v>
      </c>
      <c r="B39" s="210" t="s">
        <v>6</v>
      </c>
      <c r="C39" s="505"/>
    </row>
    <row r="40" spans="1:3" s="39" customFormat="1" ht="15" customHeight="1" thickBot="1" x14ac:dyDescent="0.3">
      <c r="A40" s="207" t="s">
        <v>343</v>
      </c>
      <c r="B40" s="57" t="s">
        <v>344</v>
      </c>
      <c r="C40" s="633">
        <v>193265720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34">
        <f>+C36+C37</f>
        <v>195308799</v>
      </c>
    </row>
    <row r="42" spans="1:3" s="213" customFormat="1" ht="12.15" customHeight="1" thickBot="1" x14ac:dyDescent="0.3">
      <c r="A42" s="91"/>
      <c r="B42" s="92" t="s">
        <v>53</v>
      </c>
      <c r="C42" s="514"/>
    </row>
    <row r="43" spans="1:3" ht="12.15" customHeight="1" thickBot="1" x14ac:dyDescent="0.3">
      <c r="A43" s="74" t="s">
        <v>16</v>
      </c>
      <c r="B43" s="54" t="s">
        <v>346</v>
      </c>
      <c r="C43" s="124">
        <f>SUM(C44:C48)</f>
        <v>194800799</v>
      </c>
    </row>
    <row r="44" spans="1:3" ht="12.15" customHeight="1" x14ac:dyDescent="0.25">
      <c r="A44" s="207" t="s">
        <v>85</v>
      </c>
      <c r="B44" s="6" t="s">
        <v>46</v>
      </c>
      <c r="C44" s="251">
        <v>146096955</v>
      </c>
    </row>
    <row r="45" spans="1:3" ht="12.15" customHeight="1" x14ac:dyDescent="0.25">
      <c r="A45" s="207" t="s">
        <v>86</v>
      </c>
      <c r="B45" s="5" t="s">
        <v>134</v>
      </c>
      <c r="C45" s="114">
        <v>19261474</v>
      </c>
    </row>
    <row r="46" spans="1:3" ht="12.15" customHeight="1" x14ac:dyDescent="0.25">
      <c r="A46" s="207" t="s">
        <v>87</v>
      </c>
      <c r="B46" s="5" t="s">
        <v>110</v>
      </c>
      <c r="C46" s="114">
        <v>29442370</v>
      </c>
    </row>
    <row r="47" spans="1:3" ht="12.15" customHeight="1" x14ac:dyDescent="0.25">
      <c r="A47" s="207" t="s">
        <v>88</v>
      </c>
      <c r="B47" s="5" t="s">
        <v>135</v>
      </c>
      <c r="C47" s="504"/>
    </row>
    <row r="48" spans="1:3" ht="12.15" customHeight="1" thickBot="1" x14ac:dyDescent="0.3">
      <c r="A48" s="207" t="s">
        <v>111</v>
      </c>
      <c r="B48" s="5" t="s">
        <v>136</v>
      </c>
      <c r="C48" s="504"/>
    </row>
    <row r="49" spans="1:3" s="213" customFormat="1" ht="12.15" customHeight="1" thickBot="1" x14ac:dyDescent="0.3">
      <c r="A49" s="74" t="s">
        <v>17</v>
      </c>
      <c r="B49" s="54" t="s">
        <v>347</v>
      </c>
      <c r="C49" s="502">
        <f>SUM(C50:C52)</f>
        <v>508000</v>
      </c>
    </row>
    <row r="50" spans="1:3" ht="12.15" customHeight="1" x14ac:dyDescent="0.25">
      <c r="A50" s="207" t="s">
        <v>91</v>
      </c>
      <c r="B50" s="6" t="s">
        <v>157</v>
      </c>
      <c r="C50" s="34">
        <v>508000</v>
      </c>
    </row>
    <row r="51" spans="1:3" ht="12.15" customHeight="1" x14ac:dyDescent="0.25">
      <c r="A51" s="207" t="s">
        <v>92</v>
      </c>
      <c r="B51" s="5" t="s">
        <v>138</v>
      </c>
      <c r="C51" s="504"/>
    </row>
    <row r="52" spans="1:3" ht="12.15" customHeight="1" x14ac:dyDescent="0.25">
      <c r="A52" s="207" t="s">
        <v>93</v>
      </c>
      <c r="B52" s="5" t="s">
        <v>54</v>
      </c>
      <c r="C52" s="504"/>
    </row>
    <row r="53" spans="1:3" ht="15" customHeight="1" thickBot="1" x14ac:dyDescent="0.3">
      <c r="A53" s="207" t="s">
        <v>94</v>
      </c>
      <c r="B53" s="5" t="s">
        <v>462</v>
      </c>
      <c r="C53" s="504"/>
    </row>
    <row r="54" spans="1:3" ht="13.8" thickBot="1" x14ac:dyDescent="0.3">
      <c r="A54" s="74" t="s">
        <v>18</v>
      </c>
      <c r="B54" s="54" t="s">
        <v>12</v>
      </c>
      <c r="C54" s="509"/>
    </row>
    <row r="55" spans="1:3" ht="15" customHeight="1" thickBot="1" x14ac:dyDescent="0.3">
      <c r="A55" s="74" t="s">
        <v>19</v>
      </c>
      <c r="B55" s="93" t="s">
        <v>463</v>
      </c>
      <c r="C55" s="124">
        <f>+C43+C49+C54</f>
        <v>195308799</v>
      </c>
    </row>
    <row r="56" spans="1:3" ht="13.8" thickBot="1" x14ac:dyDescent="0.3">
      <c r="A56" s="1341" t="s">
        <v>456</v>
      </c>
      <c r="B56" s="1342"/>
      <c r="C56" s="913">
        <v>22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topLeftCell="A46" workbookViewId="0">
      <selection activeCell="A2" sqref="A2"/>
    </sheetView>
  </sheetViews>
  <sheetFormatPr defaultRowHeight="13.2" x14ac:dyDescent="0.25"/>
  <cols>
    <col min="1" max="1" width="13.77734375" customWidth="1"/>
    <col min="2" max="2" width="79.109375" customWidth="1"/>
    <col min="3" max="3" width="25" customWidth="1"/>
  </cols>
  <sheetData>
    <row r="1" spans="1:3" x14ac:dyDescent="0.25">
      <c r="A1" s="1340" t="str">
        <f>CONCATENATE("33. melléklet"," ",ALAPADATOK!A7," ",ALAPADATOK!B7," ",ALAPADATOK!C7," ",ALAPADATOK!D7," ",ALAPADATOK!E7," ",ALAPADATOK!F7," ",ALAPADATOK!G7," ",ALAPADATOK!H7)</f>
        <v>33. melléklet a …. / 2024. ( .... ) önkormányzati rendelethez</v>
      </c>
      <c r="B1" s="1340"/>
      <c r="C1" s="1340"/>
    </row>
    <row r="2" spans="1:3" ht="16.2" thickBot="1" x14ac:dyDescent="0.3">
      <c r="A2" s="75"/>
      <c r="B2" s="76"/>
      <c r="C2" s="211" t="s">
        <v>972</v>
      </c>
    </row>
    <row r="3" spans="1:3" ht="34.200000000000003" x14ac:dyDescent="0.25">
      <c r="A3" s="171" t="s">
        <v>152</v>
      </c>
      <c r="B3" s="152" t="s">
        <v>468</v>
      </c>
      <c r="C3" s="164" t="s">
        <v>56</v>
      </c>
    </row>
    <row r="4" spans="1:3" ht="23.4" thickBot="1" x14ac:dyDescent="0.3">
      <c r="A4" s="205" t="s">
        <v>151</v>
      </c>
      <c r="B4" s="153" t="s">
        <v>348</v>
      </c>
      <c r="C4" s="165" t="s">
        <v>55</v>
      </c>
    </row>
    <row r="5" spans="1:3" ht="14.4" thickBot="1" x14ac:dyDescent="0.35">
      <c r="A5" s="77"/>
      <c r="B5" s="77"/>
      <c r="C5" s="78" t="s">
        <v>484</v>
      </c>
    </row>
    <row r="6" spans="1:3" ht="13.8" thickBot="1" x14ac:dyDescent="0.3">
      <c r="A6" s="172" t="s">
        <v>153</v>
      </c>
      <c r="B6" s="79" t="s">
        <v>50</v>
      </c>
      <c r="C6" s="80" t="s">
        <v>51</v>
      </c>
    </row>
    <row r="7" spans="1:3" ht="13.8" thickBot="1" x14ac:dyDescent="0.3">
      <c r="A7" s="71" t="s">
        <v>382</v>
      </c>
      <c r="B7" s="72" t="s">
        <v>383</v>
      </c>
      <c r="C7" s="73" t="s">
        <v>384</v>
      </c>
    </row>
    <row r="8" spans="1:3" ht="13.8" thickBot="1" x14ac:dyDescent="0.3">
      <c r="A8" s="81"/>
      <c r="B8" s="82" t="s">
        <v>52</v>
      </c>
      <c r="C8" s="83"/>
    </row>
    <row r="9" spans="1:3" ht="13.8" thickBot="1" x14ac:dyDescent="0.3">
      <c r="A9" s="71" t="s">
        <v>16</v>
      </c>
      <c r="B9" s="84" t="s">
        <v>458</v>
      </c>
      <c r="C9" s="124">
        <f>SUM(C10:C20)</f>
        <v>0</v>
      </c>
    </row>
    <row r="10" spans="1:3" x14ac:dyDescent="0.25">
      <c r="A10" s="206" t="s">
        <v>85</v>
      </c>
      <c r="B10" s="7" t="s">
        <v>207</v>
      </c>
      <c r="C10" s="156"/>
    </row>
    <row r="11" spans="1:3" x14ac:dyDescent="0.25">
      <c r="A11" s="207" t="s">
        <v>86</v>
      </c>
      <c r="B11" s="5" t="s">
        <v>208</v>
      </c>
      <c r="C11" s="122"/>
    </row>
    <row r="12" spans="1:3" x14ac:dyDescent="0.25">
      <c r="A12" s="207" t="s">
        <v>87</v>
      </c>
      <c r="B12" s="5" t="s">
        <v>209</v>
      </c>
      <c r="C12" s="122"/>
    </row>
    <row r="13" spans="1:3" x14ac:dyDescent="0.25">
      <c r="A13" s="207" t="s">
        <v>88</v>
      </c>
      <c r="B13" s="5" t="s">
        <v>210</v>
      </c>
      <c r="C13" s="122"/>
    </row>
    <row r="14" spans="1:3" x14ac:dyDescent="0.25">
      <c r="A14" s="207" t="s">
        <v>111</v>
      </c>
      <c r="B14" s="5" t="s">
        <v>821</v>
      </c>
      <c r="C14" s="122"/>
    </row>
    <row r="15" spans="1:3" x14ac:dyDescent="0.25">
      <c r="A15" s="207" t="s">
        <v>89</v>
      </c>
      <c r="B15" s="5" t="s">
        <v>331</v>
      </c>
      <c r="C15" s="122"/>
    </row>
    <row r="16" spans="1:3" x14ac:dyDescent="0.25">
      <c r="A16" s="207" t="s">
        <v>90</v>
      </c>
      <c r="B16" s="4" t="s">
        <v>332</v>
      </c>
      <c r="C16" s="122"/>
    </row>
    <row r="17" spans="1:3" x14ac:dyDescent="0.25">
      <c r="A17" s="207" t="s">
        <v>100</v>
      </c>
      <c r="B17" s="5" t="s">
        <v>214</v>
      </c>
      <c r="C17" s="157"/>
    </row>
    <row r="18" spans="1:3" x14ac:dyDescent="0.25">
      <c r="A18" s="207" t="s">
        <v>101</v>
      </c>
      <c r="B18" s="5" t="s">
        <v>215</v>
      </c>
      <c r="C18" s="122"/>
    </row>
    <row r="19" spans="1:3" x14ac:dyDescent="0.25">
      <c r="A19" s="207" t="s">
        <v>102</v>
      </c>
      <c r="B19" s="5" t="s">
        <v>388</v>
      </c>
      <c r="C19" s="123"/>
    </row>
    <row r="20" spans="1:3" ht="13.8" thickBot="1" x14ac:dyDescent="0.3">
      <c r="A20" s="207" t="s">
        <v>103</v>
      </c>
      <c r="B20" s="4" t="s">
        <v>216</v>
      </c>
      <c r="C20" s="123"/>
    </row>
    <row r="21" spans="1:3" ht="13.8" thickBot="1" x14ac:dyDescent="0.3">
      <c r="A21" s="71" t="s">
        <v>17</v>
      </c>
      <c r="B21" s="84" t="s">
        <v>333</v>
      </c>
      <c r="C21" s="124">
        <f>SUM(C22:C24)</f>
        <v>0</v>
      </c>
    </row>
    <row r="22" spans="1:3" x14ac:dyDescent="0.25">
      <c r="A22" s="207" t="s">
        <v>91</v>
      </c>
      <c r="B22" s="6" t="s">
        <v>185</v>
      </c>
      <c r="C22" s="122"/>
    </row>
    <row r="23" spans="1:3" x14ac:dyDescent="0.25">
      <c r="A23" s="207" t="s">
        <v>92</v>
      </c>
      <c r="B23" s="5" t="s">
        <v>334</v>
      </c>
      <c r="C23" s="122"/>
    </row>
    <row r="24" spans="1:3" x14ac:dyDescent="0.25">
      <c r="A24" s="207" t="s">
        <v>93</v>
      </c>
      <c r="B24" s="5" t="s">
        <v>335</v>
      </c>
      <c r="C24" s="122"/>
    </row>
    <row r="25" spans="1:3" ht="13.8" thickBot="1" x14ac:dyDescent="0.3">
      <c r="A25" s="207" t="s">
        <v>94</v>
      </c>
      <c r="B25" s="5" t="s">
        <v>464</v>
      </c>
      <c r="C25" s="122"/>
    </row>
    <row r="26" spans="1:3" ht="13.8" thickBot="1" x14ac:dyDescent="0.3">
      <c r="A26" s="74" t="s">
        <v>18</v>
      </c>
      <c r="B26" s="54" t="s">
        <v>125</v>
      </c>
      <c r="C26" s="142"/>
    </row>
    <row r="27" spans="1:3" ht="13.8" thickBot="1" x14ac:dyDescent="0.3">
      <c r="A27" s="74" t="s">
        <v>19</v>
      </c>
      <c r="B27" s="54" t="s">
        <v>465</v>
      </c>
      <c r="C27" s="124">
        <f>+C28+C30</f>
        <v>0</v>
      </c>
    </row>
    <row r="28" spans="1:3" x14ac:dyDescent="0.25">
      <c r="A28" s="208" t="s">
        <v>195</v>
      </c>
      <c r="B28" s="209" t="s">
        <v>190</v>
      </c>
      <c r="C28" s="510"/>
    </row>
    <row r="29" spans="1:3" x14ac:dyDescent="0.25">
      <c r="A29" s="207" t="s">
        <v>198</v>
      </c>
      <c r="B29" s="210" t="s">
        <v>334</v>
      </c>
      <c r="C29" s="36"/>
    </row>
    <row r="30" spans="1:3" x14ac:dyDescent="0.25">
      <c r="A30" s="208" t="s">
        <v>199</v>
      </c>
      <c r="B30" s="209" t="s">
        <v>336</v>
      </c>
      <c r="C30" s="125"/>
    </row>
    <row r="31" spans="1:3" ht="13.8" thickBot="1" x14ac:dyDescent="0.3">
      <c r="A31" s="207" t="s">
        <v>200</v>
      </c>
      <c r="B31" s="57" t="s">
        <v>466</v>
      </c>
      <c r="C31" s="633"/>
    </row>
    <row r="32" spans="1:3" ht="13.8" thickBot="1" x14ac:dyDescent="0.3">
      <c r="A32" s="74" t="s">
        <v>20</v>
      </c>
      <c r="B32" s="54" t="s">
        <v>337</v>
      </c>
      <c r="C32" s="124">
        <f>+C33+C34+C35</f>
        <v>0</v>
      </c>
    </row>
    <row r="33" spans="1:3" x14ac:dyDescent="0.25">
      <c r="A33" s="208" t="s">
        <v>78</v>
      </c>
      <c r="B33" s="209" t="s">
        <v>221</v>
      </c>
      <c r="C33" s="34"/>
    </row>
    <row r="34" spans="1:3" x14ac:dyDescent="0.25">
      <c r="A34" s="208" t="s">
        <v>79</v>
      </c>
      <c r="B34" s="210" t="s">
        <v>222</v>
      </c>
      <c r="C34" s="125"/>
    </row>
    <row r="35" spans="1:3" ht="13.8" thickBot="1" x14ac:dyDescent="0.3">
      <c r="A35" s="207" t="s">
        <v>80</v>
      </c>
      <c r="B35" s="57" t="s">
        <v>223</v>
      </c>
      <c r="C35" s="633"/>
    </row>
    <row r="36" spans="1:3" ht="13.8" thickBot="1" x14ac:dyDescent="0.3">
      <c r="A36" s="74" t="s">
        <v>21</v>
      </c>
      <c r="B36" s="54" t="s">
        <v>309</v>
      </c>
      <c r="C36" s="142"/>
    </row>
    <row r="37" spans="1:3" ht="13.8" thickBot="1" x14ac:dyDescent="0.3">
      <c r="A37" s="74" t="s">
        <v>22</v>
      </c>
      <c r="B37" s="54" t="s">
        <v>338</v>
      </c>
      <c r="C37" s="158"/>
    </row>
    <row r="38" spans="1:3" ht="13.8" thickBot="1" x14ac:dyDescent="0.3">
      <c r="A38" s="71" t="s">
        <v>23</v>
      </c>
      <c r="B38" s="54" t="s">
        <v>467</v>
      </c>
      <c r="C38" s="634">
        <f>+C9+C21+C26+C27+C32+C36+C37</f>
        <v>0</v>
      </c>
    </row>
    <row r="39" spans="1:3" ht="13.8" thickBot="1" x14ac:dyDescent="0.3">
      <c r="A39" s="85" t="s">
        <v>24</v>
      </c>
      <c r="B39" s="54" t="s">
        <v>340</v>
      </c>
      <c r="C39" s="634">
        <f>+C40+C41+C42</f>
        <v>0</v>
      </c>
    </row>
    <row r="40" spans="1:3" x14ac:dyDescent="0.25">
      <c r="A40" s="208" t="s">
        <v>341</v>
      </c>
      <c r="B40" s="209" t="s">
        <v>166</v>
      </c>
      <c r="C40" s="34"/>
    </row>
    <row r="41" spans="1:3" x14ac:dyDescent="0.25">
      <c r="A41" s="208" t="s">
        <v>342</v>
      </c>
      <c r="B41" s="210" t="s">
        <v>6</v>
      </c>
      <c r="C41" s="125"/>
    </row>
    <row r="42" spans="1:3" ht="13.8" thickBot="1" x14ac:dyDescent="0.3">
      <c r="A42" s="207" t="s">
        <v>343</v>
      </c>
      <c r="B42" s="57" t="s">
        <v>344</v>
      </c>
      <c r="C42" s="633"/>
    </row>
    <row r="43" spans="1:3" ht="13.8" thickBot="1" x14ac:dyDescent="0.3">
      <c r="A43" s="85" t="s">
        <v>25</v>
      </c>
      <c r="B43" s="86" t="s">
        <v>345</v>
      </c>
      <c r="C43" s="161">
        <f>+C38+C39</f>
        <v>0</v>
      </c>
    </row>
    <row r="44" spans="1:3" x14ac:dyDescent="0.25">
      <c r="A44" s="87"/>
      <c r="B44" s="88"/>
      <c r="C44" s="159"/>
    </row>
    <row r="45" spans="1:3" ht="13.8" thickBot="1" x14ac:dyDescent="0.3">
      <c r="A45" s="89"/>
      <c r="B45" s="90"/>
      <c r="C45" s="160"/>
    </row>
    <row r="46" spans="1:3" ht="13.8" thickBot="1" x14ac:dyDescent="0.3">
      <c r="A46" s="91"/>
      <c r="B46" s="92" t="s">
        <v>53</v>
      </c>
      <c r="C46" s="161"/>
    </row>
    <row r="47" spans="1:3" ht="13.8" thickBot="1" x14ac:dyDescent="0.3">
      <c r="A47" s="74" t="s">
        <v>16</v>
      </c>
      <c r="B47" s="54" t="s">
        <v>346</v>
      </c>
      <c r="C47" s="124">
        <f>SUM(C48:C52)</f>
        <v>0</v>
      </c>
    </row>
    <row r="48" spans="1:3" x14ac:dyDescent="0.25">
      <c r="A48" s="207" t="s">
        <v>85</v>
      </c>
      <c r="B48" s="6" t="s">
        <v>46</v>
      </c>
      <c r="C48" s="34"/>
    </row>
    <row r="49" spans="1:3" x14ac:dyDescent="0.25">
      <c r="A49" s="207" t="s">
        <v>86</v>
      </c>
      <c r="B49" s="5" t="s">
        <v>134</v>
      </c>
      <c r="C49" s="36"/>
    </row>
    <row r="50" spans="1:3" x14ac:dyDescent="0.25">
      <c r="A50" s="207" t="s">
        <v>87</v>
      </c>
      <c r="B50" s="5" t="s">
        <v>110</v>
      </c>
      <c r="C50" s="36"/>
    </row>
    <row r="51" spans="1:3" x14ac:dyDescent="0.25">
      <c r="A51" s="207" t="s">
        <v>88</v>
      </c>
      <c r="B51" s="5" t="s">
        <v>135</v>
      </c>
      <c r="C51" s="36"/>
    </row>
    <row r="52" spans="1:3" ht="13.8" thickBot="1" x14ac:dyDescent="0.3">
      <c r="A52" s="207" t="s">
        <v>111</v>
      </c>
      <c r="B52" s="5" t="s">
        <v>136</v>
      </c>
      <c r="C52" s="36"/>
    </row>
    <row r="53" spans="1:3" ht="13.8" thickBot="1" x14ac:dyDescent="0.3">
      <c r="A53" s="74" t="s">
        <v>17</v>
      </c>
      <c r="B53" s="54" t="s">
        <v>347</v>
      </c>
      <c r="C53" s="124">
        <f>SUM(C54:C56)</f>
        <v>0</v>
      </c>
    </row>
    <row r="54" spans="1:3" x14ac:dyDescent="0.25">
      <c r="A54" s="207" t="s">
        <v>91</v>
      </c>
      <c r="B54" s="6" t="s">
        <v>157</v>
      </c>
      <c r="C54" s="34"/>
    </row>
    <row r="55" spans="1:3" x14ac:dyDescent="0.25">
      <c r="A55" s="207" t="s">
        <v>92</v>
      </c>
      <c r="B55" s="5" t="s">
        <v>138</v>
      </c>
      <c r="C55" s="36"/>
    </row>
    <row r="56" spans="1:3" x14ac:dyDescent="0.25">
      <c r="A56" s="207" t="s">
        <v>93</v>
      </c>
      <c r="B56" s="5" t="s">
        <v>54</v>
      </c>
      <c r="C56" s="36"/>
    </row>
    <row r="57" spans="1:3" ht="13.8" thickBot="1" x14ac:dyDescent="0.3">
      <c r="A57" s="207" t="s">
        <v>94</v>
      </c>
      <c r="B57" s="5" t="s">
        <v>462</v>
      </c>
      <c r="C57" s="36"/>
    </row>
    <row r="58" spans="1:3" ht="13.8" thickBot="1" x14ac:dyDescent="0.3">
      <c r="A58" s="74" t="s">
        <v>18</v>
      </c>
      <c r="B58" s="54" t="s">
        <v>12</v>
      </c>
      <c r="C58" s="142"/>
    </row>
    <row r="59" spans="1:3" ht="13.8" thickBot="1" x14ac:dyDescent="0.3">
      <c r="A59" s="74" t="s">
        <v>19</v>
      </c>
      <c r="B59" s="93" t="s">
        <v>463</v>
      </c>
      <c r="C59" s="162">
        <f>+C47+C53+C58</f>
        <v>0</v>
      </c>
    </row>
    <row r="60" spans="1:3" ht="13.8" thickBot="1" x14ac:dyDescent="0.3">
      <c r="A60" s="94"/>
      <c r="B60" s="301"/>
      <c r="C60" s="163"/>
    </row>
    <row r="61" spans="1:3" ht="13.8" thickBot="1" x14ac:dyDescent="0.3">
      <c r="A61" s="95" t="s">
        <v>456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zoomScale="130" zoomScaleNormal="130" zoomScaleSheetLayoutView="115" zoomScalePageLayoutView="85" workbookViewId="0">
      <selection activeCell="C3" sqref="C3"/>
    </sheetView>
  </sheetViews>
  <sheetFormatPr defaultColWidth="12.44140625" defaultRowHeight="12.6" x14ac:dyDescent="0.25"/>
  <cols>
    <col min="1" max="1" width="35.77734375" style="548" customWidth="1"/>
    <col min="2" max="3" width="12.33203125" style="548" customWidth="1"/>
    <col min="4" max="4" width="12.33203125" style="558" customWidth="1"/>
    <col min="5" max="10" width="12.33203125" style="548" customWidth="1"/>
    <col min="11" max="11" width="12.33203125" style="558" customWidth="1"/>
    <col min="12" max="254" width="12.44140625" style="284"/>
    <col min="255" max="255" width="34" style="284" bestFit="1" customWidth="1"/>
    <col min="256" max="256" width="13" style="284" bestFit="1" customWidth="1"/>
    <col min="257" max="258" width="14.77734375" style="284" bestFit="1" customWidth="1"/>
    <col min="259" max="259" width="13.109375" style="284" customWidth="1"/>
    <col min="260" max="261" width="13" style="284" bestFit="1" customWidth="1"/>
    <col min="262" max="262" width="12.77734375" style="284" customWidth="1"/>
    <col min="263" max="263" width="11.77734375" style="284" bestFit="1" customWidth="1"/>
    <col min="264" max="264" width="14.77734375" style="284" bestFit="1" customWidth="1"/>
    <col min="265" max="510" width="12.44140625" style="284"/>
    <col min="511" max="511" width="34" style="284" bestFit="1" customWidth="1"/>
    <col min="512" max="512" width="13" style="284" bestFit="1" customWidth="1"/>
    <col min="513" max="514" width="14.77734375" style="284" bestFit="1" customWidth="1"/>
    <col min="515" max="515" width="13.109375" style="284" customWidth="1"/>
    <col min="516" max="517" width="13" style="284" bestFit="1" customWidth="1"/>
    <col min="518" max="518" width="12.77734375" style="284" customWidth="1"/>
    <col min="519" max="519" width="11.77734375" style="284" bestFit="1" customWidth="1"/>
    <col min="520" max="520" width="14.77734375" style="284" bestFit="1" customWidth="1"/>
    <col min="521" max="766" width="12.44140625" style="284"/>
    <col min="767" max="767" width="34" style="284" bestFit="1" customWidth="1"/>
    <col min="768" max="768" width="13" style="284" bestFit="1" customWidth="1"/>
    <col min="769" max="770" width="14.77734375" style="284" bestFit="1" customWidth="1"/>
    <col min="771" max="771" width="13.109375" style="284" customWidth="1"/>
    <col min="772" max="773" width="13" style="284" bestFit="1" customWidth="1"/>
    <col min="774" max="774" width="12.77734375" style="284" customWidth="1"/>
    <col min="775" max="775" width="11.77734375" style="284" bestFit="1" customWidth="1"/>
    <col min="776" max="776" width="14.77734375" style="284" bestFit="1" customWidth="1"/>
    <col min="777" max="1022" width="12.44140625" style="284"/>
    <col min="1023" max="1023" width="34" style="284" bestFit="1" customWidth="1"/>
    <col min="1024" max="1024" width="13" style="284" bestFit="1" customWidth="1"/>
    <col min="1025" max="1026" width="14.77734375" style="284" bestFit="1" customWidth="1"/>
    <col min="1027" max="1027" width="13.109375" style="284" customWidth="1"/>
    <col min="1028" max="1029" width="13" style="284" bestFit="1" customWidth="1"/>
    <col min="1030" max="1030" width="12.77734375" style="284" customWidth="1"/>
    <col min="1031" max="1031" width="11.77734375" style="284" bestFit="1" customWidth="1"/>
    <col min="1032" max="1032" width="14.77734375" style="284" bestFit="1" customWidth="1"/>
    <col min="1033" max="1278" width="12.44140625" style="284"/>
    <col min="1279" max="1279" width="34" style="284" bestFit="1" customWidth="1"/>
    <col min="1280" max="1280" width="13" style="284" bestFit="1" customWidth="1"/>
    <col min="1281" max="1282" width="14.77734375" style="284" bestFit="1" customWidth="1"/>
    <col min="1283" max="1283" width="13.109375" style="284" customWidth="1"/>
    <col min="1284" max="1285" width="13" style="284" bestFit="1" customWidth="1"/>
    <col min="1286" max="1286" width="12.77734375" style="284" customWidth="1"/>
    <col min="1287" max="1287" width="11.77734375" style="284" bestFit="1" customWidth="1"/>
    <col min="1288" max="1288" width="14.77734375" style="284" bestFit="1" customWidth="1"/>
    <col min="1289" max="1534" width="12.44140625" style="284"/>
    <col min="1535" max="1535" width="34" style="284" bestFit="1" customWidth="1"/>
    <col min="1536" max="1536" width="13" style="284" bestFit="1" customWidth="1"/>
    <col min="1537" max="1538" width="14.77734375" style="284" bestFit="1" customWidth="1"/>
    <col min="1539" max="1539" width="13.109375" style="284" customWidth="1"/>
    <col min="1540" max="1541" width="13" style="284" bestFit="1" customWidth="1"/>
    <col min="1542" max="1542" width="12.77734375" style="284" customWidth="1"/>
    <col min="1543" max="1543" width="11.77734375" style="284" bestFit="1" customWidth="1"/>
    <col min="1544" max="1544" width="14.77734375" style="284" bestFit="1" customWidth="1"/>
    <col min="1545" max="1790" width="12.44140625" style="284"/>
    <col min="1791" max="1791" width="34" style="284" bestFit="1" customWidth="1"/>
    <col min="1792" max="1792" width="13" style="284" bestFit="1" customWidth="1"/>
    <col min="1793" max="1794" width="14.77734375" style="284" bestFit="1" customWidth="1"/>
    <col min="1795" max="1795" width="13.109375" style="284" customWidth="1"/>
    <col min="1796" max="1797" width="13" style="284" bestFit="1" customWidth="1"/>
    <col min="1798" max="1798" width="12.77734375" style="284" customWidth="1"/>
    <col min="1799" max="1799" width="11.77734375" style="284" bestFit="1" customWidth="1"/>
    <col min="1800" max="1800" width="14.77734375" style="284" bestFit="1" customWidth="1"/>
    <col min="1801" max="2046" width="12.44140625" style="284"/>
    <col min="2047" max="2047" width="34" style="284" bestFit="1" customWidth="1"/>
    <col min="2048" max="2048" width="13" style="284" bestFit="1" customWidth="1"/>
    <col min="2049" max="2050" width="14.77734375" style="284" bestFit="1" customWidth="1"/>
    <col min="2051" max="2051" width="13.109375" style="284" customWidth="1"/>
    <col min="2052" max="2053" width="13" style="284" bestFit="1" customWidth="1"/>
    <col min="2054" max="2054" width="12.77734375" style="284" customWidth="1"/>
    <col min="2055" max="2055" width="11.77734375" style="284" bestFit="1" customWidth="1"/>
    <col min="2056" max="2056" width="14.77734375" style="284" bestFit="1" customWidth="1"/>
    <col min="2057" max="2302" width="12.44140625" style="284"/>
    <col min="2303" max="2303" width="34" style="284" bestFit="1" customWidth="1"/>
    <col min="2304" max="2304" width="13" style="284" bestFit="1" customWidth="1"/>
    <col min="2305" max="2306" width="14.77734375" style="284" bestFit="1" customWidth="1"/>
    <col min="2307" max="2307" width="13.109375" style="284" customWidth="1"/>
    <col min="2308" max="2309" width="13" style="284" bestFit="1" customWidth="1"/>
    <col min="2310" max="2310" width="12.77734375" style="284" customWidth="1"/>
    <col min="2311" max="2311" width="11.77734375" style="284" bestFit="1" customWidth="1"/>
    <col min="2312" max="2312" width="14.77734375" style="284" bestFit="1" customWidth="1"/>
    <col min="2313" max="2558" width="12.44140625" style="284"/>
    <col min="2559" max="2559" width="34" style="284" bestFit="1" customWidth="1"/>
    <col min="2560" max="2560" width="13" style="284" bestFit="1" customWidth="1"/>
    <col min="2561" max="2562" width="14.77734375" style="284" bestFit="1" customWidth="1"/>
    <col min="2563" max="2563" width="13.109375" style="284" customWidth="1"/>
    <col min="2564" max="2565" width="13" style="284" bestFit="1" customWidth="1"/>
    <col min="2566" max="2566" width="12.77734375" style="284" customWidth="1"/>
    <col min="2567" max="2567" width="11.77734375" style="284" bestFit="1" customWidth="1"/>
    <col min="2568" max="2568" width="14.77734375" style="284" bestFit="1" customWidth="1"/>
    <col min="2569" max="2814" width="12.44140625" style="284"/>
    <col min="2815" max="2815" width="34" style="284" bestFit="1" customWidth="1"/>
    <col min="2816" max="2816" width="13" style="284" bestFit="1" customWidth="1"/>
    <col min="2817" max="2818" width="14.77734375" style="284" bestFit="1" customWidth="1"/>
    <col min="2819" max="2819" width="13.109375" style="284" customWidth="1"/>
    <col min="2820" max="2821" width="13" style="284" bestFit="1" customWidth="1"/>
    <col min="2822" max="2822" width="12.77734375" style="284" customWidth="1"/>
    <col min="2823" max="2823" width="11.77734375" style="284" bestFit="1" customWidth="1"/>
    <col min="2824" max="2824" width="14.77734375" style="284" bestFit="1" customWidth="1"/>
    <col min="2825" max="3070" width="12.44140625" style="284"/>
    <col min="3071" max="3071" width="34" style="284" bestFit="1" customWidth="1"/>
    <col min="3072" max="3072" width="13" style="284" bestFit="1" customWidth="1"/>
    <col min="3073" max="3074" width="14.77734375" style="284" bestFit="1" customWidth="1"/>
    <col min="3075" max="3075" width="13.109375" style="284" customWidth="1"/>
    <col min="3076" max="3077" width="13" style="284" bestFit="1" customWidth="1"/>
    <col min="3078" max="3078" width="12.77734375" style="284" customWidth="1"/>
    <col min="3079" max="3079" width="11.77734375" style="284" bestFit="1" customWidth="1"/>
    <col min="3080" max="3080" width="14.77734375" style="284" bestFit="1" customWidth="1"/>
    <col min="3081" max="3326" width="12.44140625" style="284"/>
    <col min="3327" max="3327" width="34" style="284" bestFit="1" customWidth="1"/>
    <col min="3328" max="3328" width="13" style="284" bestFit="1" customWidth="1"/>
    <col min="3329" max="3330" width="14.77734375" style="284" bestFit="1" customWidth="1"/>
    <col min="3331" max="3331" width="13.109375" style="284" customWidth="1"/>
    <col min="3332" max="3333" width="13" style="284" bestFit="1" customWidth="1"/>
    <col min="3334" max="3334" width="12.77734375" style="284" customWidth="1"/>
    <col min="3335" max="3335" width="11.77734375" style="284" bestFit="1" customWidth="1"/>
    <col min="3336" max="3336" width="14.77734375" style="284" bestFit="1" customWidth="1"/>
    <col min="3337" max="3582" width="12.44140625" style="284"/>
    <col min="3583" max="3583" width="34" style="284" bestFit="1" customWidth="1"/>
    <col min="3584" max="3584" width="13" style="284" bestFit="1" customWidth="1"/>
    <col min="3585" max="3586" width="14.77734375" style="284" bestFit="1" customWidth="1"/>
    <col min="3587" max="3587" width="13.109375" style="284" customWidth="1"/>
    <col min="3588" max="3589" width="13" style="284" bestFit="1" customWidth="1"/>
    <col min="3590" max="3590" width="12.77734375" style="284" customWidth="1"/>
    <col min="3591" max="3591" width="11.77734375" style="284" bestFit="1" customWidth="1"/>
    <col min="3592" max="3592" width="14.77734375" style="284" bestFit="1" customWidth="1"/>
    <col min="3593" max="3838" width="12.44140625" style="284"/>
    <col min="3839" max="3839" width="34" style="284" bestFit="1" customWidth="1"/>
    <col min="3840" max="3840" width="13" style="284" bestFit="1" customWidth="1"/>
    <col min="3841" max="3842" width="14.77734375" style="284" bestFit="1" customWidth="1"/>
    <col min="3843" max="3843" width="13.109375" style="284" customWidth="1"/>
    <col min="3844" max="3845" width="13" style="284" bestFit="1" customWidth="1"/>
    <col min="3846" max="3846" width="12.77734375" style="284" customWidth="1"/>
    <col min="3847" max="3847" width="11.77734375" style="284" bestFit="1" customWidth="1"/>
    <col min="3848" max="3848" width="14.77734375" style="284" bestFit="1" customWidth="1"/>
    <col min="3849" max="4094" width="12.44140625" style="284"/>
    <col min="4095" max="4095" width="34" style="284" bestFit="1" customWidth="1"/>
    <col min="4096" max="4096" width="13" style="284" bestFit="1" customWidth="1"/>
    <col min="4097" max="4098" width="14.77734375" style="284" bestFit="1" customWidth="1"/>
    <col min="4099" max="4099" width="13.109375" style="284" customWidth="1"/>
    <col min="4100" max="4101" width="13" style="284" bestFit="1" customWidth="1"/>
    <col min="4102" max="4102" width="12.77734375" style="284" customWidth="1"/>
    <col min="4103" max="4103" width="11.77734375" style="284" bestFit="1" customWidth="1"/>
    <col min="4104" max="4104" width="14.77734375" style="284" bestFit="1" customWidth="1"/>
    <col min="4105" max="4350" width="12.44140625" style="284"/>
    <col min="4351" max="4351" width="34" style="284" bestFit="1" customWidth="1"/>
    <col min="4352" max="4352" width="13" style="284" bestFit="1" customWidth="1"/>
    <col min="4353" max="4354" width="14.77734375" style="284" bestFit="1" customWidth="1"/>
    <col min="4355" max="4355" width="13.109375" style="284" customWidth="1"/>
    <col min="4356" max="4357" width="13" style="284" bestFit="1" customWidth="1"/>
    <col min="4358" max="4358" width="12.77734375" style="284" customWidth="1"/>
    <col min="4359" max="4359" width="11.77734375" style="284" bestFit="1" customWidth="1"/>
    <col min="4360" max="4360" width="14.77734375" style="284" bestFit="1" customWidth="1"/>
    <col min="4361" max="4606" width="12.44140625" style="284"/>
    <col min="4607" max="4607" width="34" style="284" bestFit="1" customWidth="1"/>
    <col min="4608" max="4608" width="13" style="284" bestFit="1" customWidth="1"/>
    <col min="4609" max="4610" width="14.77734375" style="284" bestFit="1" customWidth="1"/>
    <col min="4611" max="4611" width="13.109375" style="284" customWidth="1"/>
    <col min="4612" max="4613" width="13" style="284" bestFit="1" customWidth="1"/>
    <col min="4614" max="4614" width="12.77734375" style="284" customWidth="1"/>
    <col min="4615" max="4615" width="11.77734375" style="284" bestFit="1" customWidth="1"/>
    <col min="4616" max="4616" width="14.77734375" style="284" bestFit="1" customWidth="1"/>
    <col min="4617" max="4862" width="12.44140625" style="284"/>
    <col min="4863" max="4863" width="34" style="284" bestFit="1" customWidth="1"/>
    <col min="4864" max="4864" width="13" style="284" bestFit="1" customWidth="1"/>
    <col min="4865" max="4866" width="14.77734375" style="284" bestFit="1" customWidth="1"/>
    <col min="4867" max="4867" width="13.109375" style="284" customWidth="1"/>
    <col min="4868" max="4869" width="13" style="284" bestFit="1" customWidth="1"/>
    <col min="4870" max="4870" width="12.77734375" style="284" customWidth="1"/>
    <col min="4871" max="4871" width="11.77734375" style="284" bestFit="1" customWidth="1"/>
    <col min="4872" max="4872" width="14.77734375" style="284" bestFit="1" customWidth="1"/>
    <col min="4873" max="5118" width="12.44140625" style="284"/>
    <col min="5119" max="5119" width="34" style="284" bestFit="1" customWidth="1"/>
    <col min="5120" max="5120" width="13" style="284" bestFit="1" customWidth="1"/>
    <col min="5121" max="5122" width="14.77734375" style="284" bestFit="1" customWidth="1"/>
    <col min="5123" max="5123" width="13.109375" style="284" customWidth="1"/>
    <col min="5124" max="5125" width="13" style="284" bestFit="1" customWidth="1"/>
    <col min="5126" max="5126" width="12.77734375" style="284" customWidth="1"/>
    <col min="5127" max="5127" width="11.77734375" style="284" bestFit="1" customWidth="1"/>
    <col min="5128" max="5128" width="14.77734375" style="284" bestFit="1" customWidth="1"/>
    <col min="5129" max="5374" width="12.44140625" style="284"/>
    <col min="5375" max="5375" width="34" style="284" bestFit="1" customWidth="1"/>
    <col min="5376" max="5376" width="13" style="284" bestFit="1" customWidth="1"/>
    <col min="5377" max="5378" width="14.77734375" style="284" bestFit="1" customWidth="1"/>
    <col min="5379" max="5379" width="13.109375" style="284" customWidth="1"/>
    <col min="5380" max="5381" width="13" style="284" bestFit="1" customWidth="1"/>
    <col min="5382" max="5382" width="12.77734375" style="284" customWidth="1"/>
    <col min="5383" max="5383" width="11.77734375" style="284" bestFit="1" customWidth="1"/>
    <col min="5384" max="5384" width="14.77734375" style="284" bestFit="1" customWidth="1"/>
    <col min="5385" max="5630" width="12.44140625" style="284"/>
    <col min="5631" max="5631" width="34" style="284" bestFit="1" customWidth="1"/>
    <col min="5632" max="5632" width="13" style="284" bestFit="1" customWidth="1"/>
    <col min="5633" max="5634" width="14.77734375" style="284" bestFit="1" customWidth="1"/>
    <col min="5635" max="5635" width="13.109375" style="284" customWidth="1"/>
    <col min="5636" max="5637" width="13" style="284" bestFit="1" customWidth="1"/>
    <col min="5638" max="5638" width="12.77734375" style="284" customWidth="1"/>
    <col min="5639" max="5639" width="11.77734375" style="284" bestFit="1" customWidth="1"/>
    <col min="5640" max="5640" width="14.77734375" style="284" bestFit="1" customWidth="1"/>
    <col min="5641" max="5886" width="12.44140625" style="284"/>
    <col min="5887" max="5887" width="34" style="284" bestFit="1" customWidth="1"/>
    <col min="5888" max="5888" width="13" style="284" bestFit="1" customWidth="1"/>
    <col min="5889" max="5890" width="14.77734375" style="284" bestFit="1" customWidth="1"/>
    <col min="5891" max="5891" width="13.109375" style="284" customWidth="1"/>
    <col min="5892" max="5893" width="13" style="284" bestFit="1" customWidth="1"/>
    <col min="5894" max="5894" width="12.77734375" style="284" customWidth="1"/>
    <col min="5895" max="5895" width="11.77734375" style="284" bestFit="1" customWidth="1"/>
    <col min="5896" max="5896" width="14.77734375" style="284" bestFit="1" customWidth="1"/>
    <col min="5897" max="6142" width="12.44140625" style="284"/>
    <col min="6143" max="6143" width="34" style="284" bestFit="1" customWidth="1"/>
    <col min="6144" max="6144" width="13" style="284" bestFit="1" customWidth="1"/>
    <col min="6145" max="6146" width="14.77734375" style="284" bestFit="1" customWidth="1"/>
    <col min="6147" max="6147" width="13.109375" style="284" customWidth="1"/>
    <col min="6148" max="6149" width="13" style="284" bestFit="1" customWidth="1"/>
    <col min="6150" max="6150" width="12.77734375" style="284" customWidth="1"/>
    <col min="6151" max="6151" width="11.77734375" style="284" bestFit="1" customWidth="1"/>
    <col min="6152" max="6152" width="14.77734375" style="284" bestFit="1" customWidth="1"/>
    <col min="6153" max="6398" width="12.44140625" style="284"/>
    <col min="6399" max="6399" width="34" style="284" bestFit="1" customWidth="1"/>
    <col min="6400" max="6400" width="13" style="284" bestFit="1" customWidth="1"/>
    <col min="6401" max="6402" width="14.77734375" style="284" bestFit="1" customWidth="1"/>
    <col min="6403" max="6403" width="13.109375" style="284" customWidth="1"/>
    <col min="6404" max="6405" width="13" style="284" bestFit="1" customWidth="1"/>
    <col min="6406" max="6406" width="12.77734375" style="284" customWidth="1"/>
    <col min="6407" max="6407" width="11.77734375" style="284" bestFit="1" customWidth="1"/>
    <col min="6408" max="6408" width="14.77734375" style="284" bestFit="1" customWidth="1"/>
    <col min="6409" max="6654" width="12.44140625" style="284"/>
    <col min="6655" max="6655" width="34" style="284" bestFit="1" customWidth="1"/>
    <col min="6656" max="6656" width="13" style="284" bestFit="1" customWidth="1"/>
    <col min="6657" max="6658" width="14.77734375" style="284" bestFit="1" customWidth="1"/>
    <col min="6659" max="6659" width="13.109375" style="284" customWidth="1"/>
    <col min="6660" max="6661" width="13" style="284" bestFit="1" customWidth="1"/>
    <col min="6662" max="6662" width="12.77734375" style="284" customWidth="1"/>
    <col min="6663" max="6663" width="11.77734375" style="284" bestFit="1" customWidth="1"/>
    <col min="6664" max="6664" width="14.77734375" style="284" bestFit="1" customWidth="1"/>
    <col min="6665" max="6910" width="12.44140625" style="284"/>
    <col min="6911" max="6911" width="34" style="284" bestFit="1" customWidth="1"/>
    <col min="6912" max="6912" width="13" style="284" bestFit="1" customWidth="1"/>
    <col min="6913" max="6914" width="14.77734375" style="284" bestFit="1" customWidth="1"/>
    <col min="6915" max="6915" width="13.109375" style="284" customWidth="1"/>
    <col min="6916" max="6917" width="13" style="284" bestFit="1" customWidth="1"/>
    <col min="6918" max="6918" width="12.77734375" style="284" customWidth="1"/>
    <col min="6919" max="6919" width="11.77734375" style="284" bestFit="1" customWidth="1"/>
    <col min="6920" max="6920" width="14.77734375" style="284" bestFit="1" customWidth="1"/>
    <col min="6921" max="7166" width="12.44140625" style="284"/>
    <col min="7167" max="7167" width="34" style="284" bestFit="1" customWidth="1"/>
    <col min="7168" max="7168" width="13" style="284" bestFit="1" customWidth="1"/>
    <col min="7169" max="7170" width="14.77734375" style="284" bestFit="1" customWidth="1"/>
    <col min="7171" max="7171" width="13.109375" style="284" customWidth="1"/>
    <col min="7172" max="7173" width="13" style="284" bestFit="1" customWidth="1"/>
    <col min="7174" max="7174" width="12.77734375" style="284" customWidth="1"/>
    <col min="7175" max="7175" width="11.77734375" style="284" bestFit="1" customWidth="1"/>
    <col min="7176" max="7176" width="14.77734375" style="284" bestFit="1" customWidth="1"/>
    <col min="7177" max="7422" width="12.44140625" style="284"/>
    <col min="7423" max="7423" width="34" style="284" bestFit="1" customWidth="1"/>
    <col min="7424" max="7424" width="13" style="284" bestFit="1" customWidth="1"/>
    <col min="7425" max="7426" width="14.77734375" style="284" bestFit="1" customWidth="1"/>
    <col min="7427" max="7427" width="13.109375" style="284" customWidth="1"/>
    <col min="7428" max="7429" width="13" style="284" bestFit="1" customWidth="1"/>
    <col min="7430" max="7430" width="12.77734375" style="284" customWidth="1"/>
    <col min="7431" max="7431" width="11.77734375" style="284" bestFit="1" customWidth="1"/>
    <col min="7432" max="7432" width="14.77734375" style="284" bestFit="1" customWidth="1"/>
    <col min="7433" max="7678" width="12.44140625" style="284"/>
    <col min="7679" max="7679" width="34" style="284" bestFit="1" customWidth="1"/>
    <col min="7680" max="7680" width="13" style="284" bestFit="1" customWidth="1"/>
    <col min="7681" max="7682" width="14.77734375" style="284" bestFit="1" customWidth="1"/>
    <col min="7683" max="7683" width="13.109375" style="284" customWidth="1"/>
    <col min="7684" max="7685" width="13" style="284" bestFit="1" customWidth="1"/>
    <col min="7686" max="7686" width="12.77734375" style="284" customWidth="1"/>
    <col min="7687" max="7687" width="11.77734375" style="284" bestFit="1" customWidth="1"/>
    <col min="7688" max="7688" width="14.77734375" style="284" bestFit="1" customWidth="1"/>
    <col min="7689" max="7934" width="12.44140625" style="284"/>
    <col min="7935" max="7935" width="34" style="284" bestFit="1" customWidth="1"/>
    <col min="7936" max="7936" width="13" style="284" bestFit="1" customWidth="1"/>
    <col min="7937" max="7938" width="14.77734375" style="284" bestFit="1" customWidth="1"/>
    <col min="7939" max="7939" width="13.109375" style="284" customWidth="1"/>
    <col min="7940" max="7941" width="13" style="284" bestFit="1" customWidth="1"/>
    <col min="7942" max="7942" width="12.77734375" style="284" customWidth="1"/>
    <col min="7943" max="7943" width="11.77734375" style="284" bestFit="1" customWidth="1"/>
    <col min="7944" max="7944" width="14.77734375" style="284" bestFit="1" customWidth="1"/>
    <col min="7945" max="8190" width="12.44140625" style="284"/>
    <col min="8191" max="8191" width="34" style="284" bestFit="1" customWidth="1"/>
    <col min="8192" max="8192" width="13" style="284" bestFit="1" customWidth="1"/>
    <col min="8193" max="8194" width="14.77734375" style="284" bestFit="1" customWidth="1"/>
    <col min="8195" max="8195" width="13.109375" style="284" customWidth="1"/>
    <col min="8196" max="8197" width="13" style="284" bestFit="1" customWidth="1"/>
    <col min="8198" max="8198" width="12.77734375" style="284" customWidth="1"/>
    <col min="8199" max="8199" width="11.77734375" style="284" bestFit="1" customWidth="1"/>
    <col min="8200" max="8200" width="14.77734375" style="284" bestFit="1" customWidth="1"/>
    <col min="8201" max="8446" width="12.44140625" style="284"/>
    <col min="8447" max="8447" width="34" style="284" bestFit="1" customWidth="1"/>
    <col min="8448" max="8448" width="13" style="284" bestFit="1" customWidth="1"/>
    <col min="8449" max="8450" width="14.77734375" style="284" bestFit="1" customWidth="1"/>
    <col min="8451" max="8451" width="13.109375" style="284" customWidth="1"/>
    <col min="8452" max="8453" width="13" style="284" bestFit="1" customWidth="1"/>
    <col min="8454" max="8454" width="12.77734375" style="284" customWidth="1"/>
    <col min="8455" max="8455" width="11.77734375" style="284" bestFit="1" customWidth="1"/>
    <col min="8456" max="8456" width="14.77734375" style="284" bestFit="1" customWidth="1"/>
    <col min="8457" max="8702" width="12.44140625" style="284"/>
    <col min="8703" max="8703" width="34" style="284" bestFit="1" customWidth="1"/>
    <col min="8704" max="8704" width="13" style="284" bestFit="1" customWidth="1"/>
    <col min="8705" max="8706" width="14.77734375" style="284" bestFit="1" customWidth="1"/>
    <col min="8707" max="8707" width="13.109375" style="284" customWidth="1"/>
    <col min="8708" max="8709" width="13" style="284" bestFit="1" customWidth="1"/>
    <col min="8710" max="8710" width="12.77734375" style="284" customWidth="1"/>
    <col min="8711" max="8711" width="11.77734375" style="284" bestFit="1" customWidth="1"/>
    <col min="8712" max="8712" width="14.77734375" style="284" bestFit="1" customWidth="1"/>
    <col min="8713" max="8958" width="12.44140625" style="284"/>
    <col min="8959" max="8959" width="34" style="284" bestFit="1" customWidth="1"/>
    <col min="8960" max="8960" width="13" style="284" bestFit="1" customWidth="1"/>
    <col min="8961" max="8962" width="14.77734375" style="284" bestFit="1" customWidth="1"/>
    <col min="8963" max="8963" width="13.109375" style="284" customWidth="1"/>
    <col min="8964" max="8965" width="13" style="284" bestFit="1" customWidth="1"/>
    <col min="8966" max="8966" width="12.77734375" style="284" customWidth="1"/>
    <col min="8967" max="8967" width="11.77734375" style="284" bestFit="1" customWidth="1"/>
    <col min="8968" max="8968" width="14.77734375" style="284" bestFit="1" customWidth="1"/>
    <col min="8969" max="9214" width="12.44140625" style="284"/>
    <col min="9215" max="9215" width="34" style="284" bestFit="1" customWidth="1"/>
    <col min="9216" max="9216" width="13" style="284" bestFit="1" customWidth="1"/>
    <col min="9217" max="9218" width="14.77734375" style="284" bestFit="1" customWidth="1"/>
    <col min="9219" max="9219" width="13.109375" style="284" customWidth="1"/>
    <col min="9220" max="9221" width="13" style="284" bestFit="1" customWidth="1"/>
    <col min="9222" max="9222" width="12.77734375" style="284" customWidth="1"/>
    <col min="9223" max="9223" width="11.77734375" style="284" bestFit="1" customWidth="1"/>
    <col min="9224" max="9224" width="14.77734375" style="284" bestFit="1" customWidth="1"/>
    <col min="9225" max="9470" width="12.44140625" style="284"/>
    <col min="9471" max="9471" width="34" style="284" bestFit="1" customWidth="1"/>
    <col min="9472" max="9472" width="13" style="284" bestFit="1" customWidth="1"/>
    <col min="9473" max="9474" width="14.77734375" style="284" bestFit="1" customWidth="1"/>
    <col min="9475" max="9475" width="13.109375" style="284" customWidth="1"/>
    <col min="9476" max="9477" width="13" style="284" bestFit="1" customWidth="1"/>
    <col min="9478" max="9478" width="12.77734375" style="284" customWidth="1"/>
    <col min="9479" max="9479" width="11.77734375" style="284" bestFit="1" customWidth="1"/>
    <col min="9480" max="9480" width="14.77734375" style="284" bestFit="1" customWidth="1"/>
    <col min="9481" max="9726" width="12.44140625" style="284"/>
    <col min="9727" max="9727" width="34" style="284" bestFit="1" customWidth="1"/>
    <col min="9728" max="9728" width="13" style="284" bestFit="1" customWidth="1"/>
    <col min="9729" max="9730" width="14.77734375" style="284" bestFit="1" customWidth="1"/>
    <col min="9731" max="9731" width="13.109375" style="284" customWidth="1"/>
    <col min="9732" max="9733" width="13" style="284" bestFit="1" customWidth="1"/>
    <col min="9734" max="9734" width="12.77734375" style="284" customWidth="1"/>
    <col min="9735" max="9735" width="11.77734375" style="284" bestFit="1" customWidth="1"/>
    <col min="9736" max="9736" width="14.77734375" style="284" bestFit="1" customWidth="1"/>
    <col min="9737" max="9982" width="12.44140625" style="284"/>
    <col min="9983" max="9983" width="34" style="284" bestFit="1" customWidth="1"/>
    <col min="9984" max="9984" width="13" style="284" bestFit="1" customWidth="1"/>
    <col min="9985" max="9986" width="14.77734375" style="284" bestFit="1" customWidth="1"/>
    <col min="9987" max="9987" width="13.109375" style="284" customWidth="1"/>
    <col min="9988" max="9989" width="13" style="284" bestFit="1" customWidth="1"/>
    <col min="9990" max="9990" width="12.77734375" style="284" customWidth="1"/>
    <col min="9991" max="9991" width="11.77734375" style="284" bestFit="1" customWidth="1"/>
    <col min="9992" max="9992" width="14.77734375" style="284" bestFit="1" customWidth="1"/>
    <col min="9993" max="10238" width="12.44140625" style="284"/>
    <col min="10239" max="10239" width="34" style="284" bestFit="1" customWidth="1"/>
    <col min="10240" max="10240" width="13" style="284" bestFit="1" customWidth="1"/>
    <col min="10241" max="10242" width="14.77734375" style="284" bestFit="1" customWidth="1"/>
    <col min="10243" max="10243" width="13.109375" style="284" customWidth="1"/>
    <col min="10244" max="10245" width="13" style="284" bestFit="1" customWidth="1"/>
    <col min="10246" max="10246" width="12.77734375" style="284" customWidth="1"/>
    <col min="10247" max="10247" width="11.77734375" style="284" bestFit="1" customWidth="1"/>
    <col min="10248" max="10248" width="14.77734375" style="284" bestFit="1" customWidth="1"/>
    <col min="10249" max="10494" width="12.44140625" style="284"/>
    <col min="10495" max="10495" width="34" style="284" bestFit="1" customWidth="1"/>
    <col min="10496" max="10496" width="13" style="284" bestFit="1" customWidth="1"/>
    <col min="10497" max="10498" width="14.77734375" style="284" bestFit="1" customWidth="1"/>
    <col min="10499" max="10499" width="13.109375" style="284" customWidth="1"/>
    <col min="10500" max="10501" width="13" style="284" bestFit="1" customWidth="1"/>
    <col min="10502" max="10502" width="12.77734375" style="284" customWidth="1"/>
    <col min="10503" max="10503" width="11.77734375" style="284" bestFit="1" customWidth="1"/>
    <col min="10504" max="10504" width="14.77734375" style="284" bestFit="1" customWidth="1"/>
    <col min="10505" max="10750" width="12.44140625" style="284"/>
    <col min="10751" max="10751" width="34" style="284" bestFit="1" customWidth="1"/>
    <col min="10752" max="10752" width="13" style="284" bestFit="1" customWidth="1"/>
    <col min="10753" max="10754" width="14.77734375" style="284" bestFit="1" customWidth="1"/>
    <col min="10755" max="10755" width="13.109375" style="284" customWidth="1"/>
    <col min="10756" max="10757" width="13" style="284" bestFit="1" customWidth="1"/>
    <col min="10758" max="10758" width="12.77734375" style="284" customWidth="1"/>
    <col min="10759" max="10759" width="11.77734375" style="284" bestFit="1" customWidth="1"/>
    <col min="10760" max="10760" width="14.77734375" style="284" bestFit="1" customWidth="1"/>
    <col min="10761" max="11006" width="12.44140625" style="284"/>
    <col min="11007" max="11007" width="34" style="284" bestFit="1" customWidth="1"/>
    <col min="11008" max="11008" width="13" style="284" bestFit="1" customWidth="1"/>
    <col min="11009" max="11010" width="14.77734375" style="284" bestFit="1" customWidth="1"/>
    <col min="11011" max="11011" width="13.109375" style="284" customWidth="1"/>
    <col min="11012" max="11013" width="13" style="284" bestFit="1" customWidth="1"/>
    <col min="11014" max="11014" width="12.77734375" style="284" customWidth="1"/>
    <col min="11015" max="11015" width="11.77734375" style="284" bestFit="1" customWidth="1"/>
    <col min="11016" max="11016" width="14.77734375" style="284" bestFit="1" customWidth="1"/>
    <col min="11017" max="11262" width="12.44140625" style="284"/>
    <col min="11263" max="11263" width="34" style="284" bestFit="1" customWidth="1"/>
    <col min="11264" max="11264" width="13" style="284" bestFit="1" customWidth="1"/>
    <col min="11265" max="11266" width="14.77734375" style="284" bestFit="1" customWidth="1"/>
    <col min="11267" max="11267" width="13.109375" style="284" customWidth="1"/>
    <col min="11268" max="11269" width="13" style="284" bestFit="1" customWidth="1"/>
    <col min="11270" max="11270" width="12.77734375" style="284" customWidth="1"/>
    <col min="11271" max="11271" width="11.77734375" style="284" bestFit="1" customWidth="1"/>
    <col min="11272" max="11272" width="14.77734375" style="284" bestFit="1" customWidth="1"/>
    <col min="11273" max="11518" width="12.44140625" style="284"/>
    <col min="11519" max="11519" width="34" style="284" bestFit="1" customWidth="1"/>
    <col min="11520" max="11520" width="13" style="284" bestFit="1" customWidth="1"/>
    <col min="11521" max="11522" width="14.77734375" style="284" bestFit="1" customWidth="1"/>
    <col min="11523" max="11523" width="13.109375" style="284" customWidth="1"/>
    <col min="11524" max="11525" width="13" style="284" bestFit="1" customWidth="1"/>
    <col min="11526" max="11526" width="12.77734375" style="284" customWidth="1"/>
    <col min="11527" max="11527" width="11.77734375" style="284" bestFit="1" customWidth="1"/>
    <col min="11528" max="11528" width="14.77734375" style="284" bestFit="1" customWidth="1"/>
    <col min="11529" max="11774" width="12.44140625" style="284"/>
    <col min="11775" max="11775" width="34" style="284" bestFit="1" customWidth="1"/>
    <col min="11776" max="11776" width="13" style="284" bestFit="1" customWidth="1"/>
    <col min="11777" max="11778" width="14.77734375" style="284" bestFit="1" customWidth="1"/>
    <col min="11779" max="11779" width="13.109375" style="284" customWidth="1"/>
    <col min="11780" max="11781" width="13" style="284" bestFit="1" customWidth="1"/>
    <col min="11782" max="11782" width="12.77734375" style="284" customWidth="1"/>
    <col min="11783" max="11783" width="11.77734375" style="284" bestFit="1" customWidth="1"/>
    <col min="11784" max="11784" width="14.77734375" style="284" bestFit="1" customWidth="1"/>
    <col min="11785" max="12030" width="12.44140625" style="284"/>
    <col min="12031" max="12031" width="34" style="284" bestFit="1" customWidth="1"/>
    <col min="12032" max="12032" width="13" style="284" bestFit="1" customWidth="1"/>
    <col min="12033" max="12034" width="14.77734375" style="284" bestFit="1" customWidth="1"/>
    <col min="12035" max="12035" width="13.109375" style="284" customWidth="1"/>
    <col min="12036" max="12037" width="13" style="284" bestFit="1" customWidth="1"/>
    <col min="12038" max="12038" width="12.77734375" style="284" customWidth="1"/>
    <col min="12039" max="12039" width="11.77734375" style="284" bestFit="1" customWidth="1"/>
    <col min="12040" max="12040" width="14.77734375" style="284" bestFit="1" customWidth="1"/>
    <col min="12041" max="12286" width="12.44140625" style="284"/>
    <col min="12287" max="12287" width="34" style="284" bestFit="1" customWidth="1"/>
    <col min="12288" max="12288" width="13" style="284" bestFit="1" customWidth="1"/>
    <col min="12289" max="12290" width="14.77734375" style="284" bestFit="1" customWidth="1"/>
    <col min="12291" max="12291" width="13.109375" style="284" customWidth="1"/>
    <col min="12292" max="12293" width="13" style="284" bestFit="1" customWidth="1"/>
    <col min="12294" max="12294" width="12.77734375" style="284" customWidth="1"/>
    <col min="12295" max="12295" width="11.77734375" style="284" bestFit="1" customWidth="1"/>
    <col min="12296" max="12296" width="14.77734375" style="284" bestFit="1" customWidth="1"/>
    <col min="12297" max="12542" width="12.44140625" style="284"/>
    <col min="12543" max="12543" width="34" style="284" bestFit="1" customWidth="1"/>
    <col min="12544" max="12544" width="13" style="284" bestFit="1" customWidth="1"/>
    <col min="12545" max="12546" width="14.77734375" style="284" bestFit="1" customWidth="1"/>
    <col min="12547" max="12547" width="13.109375" style="284" customWidth="1"/>
    <col min="12548" max="12549" width="13" style="284" bestFit="1" customWidth="1"/>
    <col min="12550" max="12550" width="12.77734375" style="284" customWidth="1"/>
    <col min="12551" max="12551" width="11.77734375" style="284" bestFit="1" customWidth="1"/>
    <col min="12552" max="12552" width="14.77734375" style="284" bestFit="1" customWidth="1"/>
    <col min="12553" max="12798" width="12.44140625" style="284"/>
    <col min="12799" max="12799" width="34" style="284" bestFit="1" customWidth="1"/>
    <col min="12800" max="12800" width="13" style="284" bestFit="1" customWidth="1"/>
    <col min="12801" max="12802" width="14.77734375" style="284" bestFit="1" customWidth="1"/>
    <col min="12803" max="12803" width="13.109375" style="284" customWidth="1"/>
    <col min="12804" max="12805" width="13" style="284" bestFit="1" customWidth="1"/>
    <col min="12806" max="12806" width="12.77734375" style="284" customWidth="1"/>
    <col min="12807" max="12807" width="11.77734375" style="284" bestFit="1" customWidth="1"/>
    <col min="12808" max="12808" width="14.77734375" style="284" bestFit="1" customWidth="1"/>
    <col min="12809" max="13054" width="12.44140625" style="284"/>
    <col min="13055" max="13055" width="34" style="284" bestFit="1" customWidth="1"/>
    <col min="13056" max="13056" width="13" style="284" bestFit="1" customWidth="1"/>
    <col min="13057" max="13058" width="14.77734375" style="284" bestFit="1" customWidth="1"/>
    <col min="13059" max="13059" width="13.109375" style="284" customWidth="1"/>
    <col min="13060" max="13061" width="13" style="284" bestFit="1" customWidth="1"/>
    <col min="13062" max="13062" width="12.77734375" style="284" customWidth="1"/>
    <col min="13063" max="13063" width="11.77734375" style="284" bestFit="1" customWidth="1"/>
    <col min="13064" max="13064" width="14.77734375" style="284" bestFit="1" customWidth="1"/>
    <col min="13065" max="13310" width="12.44140625" style="284"/>
    <col min="13311" max="13311" width="34" style="284" bestFit="1" customWidth="1"/>
    <col min="13312" max="13312" width="13" style="284" bestFit="1" customWidth="1"/>
    <col min="13313" max="13314" width="14.77734375" style="284" bestFit="1" customWidth="1"/>
    <col min="13315" max="13315" width="13.109375" style="284" customWidth="1"/>
    <col min="13316" max="13317" width="13" style="284" bestFit="1" customWidth="1"/>
    <col min="13318" max="13318" width="12.77734375" style="284" customWidth="1"/>
    <col min="13319" max="13319" width="11.77734375" style="284" bestFit="1" customWidth="1"/>
    <col min="13320" max="13320" width="14.77734375" style="284" bestFit="1" customWidth="1"/>
    <col min="13321" max="13566" width="12.44140625" style="284"/>
    <col min="13567" max="13567" width="34" style="284" bestFit="1" customWidth="1"/>
    <col min="13568" max="13568" width="13" style="284" bestFit="1" customWidth="1"/>
    <col min="13569" max="13570" width="14.77734375" style="284" bestFit="1" customWidth="1"/>
    <col min="13571" max="13571" width="13.109375" style="284" customWidth="1"/>
    <col min="13572" max="13573" width="13" style="284" bestFit="1" customWidth="1"/>
    <col min="13574" max="13574" width="12.77734375" style="284" customWidth="1"/>
    <col min="13575" max="13575" width="11.77734375" style="284" bestFit="1" customWidth="1"/>
    <col min="13576" max="13576" width="14.77734375" style="284" bestFit="1" customWidth="1"/>
    <col min="13577" max="13822" width="12.44140625" style="284"/>
    <col min="13823" max="13823" width="34" style="284" bestFit="1" customWidth="1"/>
    <col min="13824" max="13824" width="13" style="284" bestFit="1" customWidth="1"/>
    <col min="13825" max="13826" width="14.77734375" style="284" bestFit="1" customWidth="1"/>
    <col min="13827" max="13827" width="13.109375" style="284" customWidth="1"/>
    <col min="13828" max="13829" width="13" style="284" bestFit="1" customWidth="1"/>
    <col min="13830" max="13830" width="12.77734375" style="284" customWidth="1"/>
    <col min="13831" max="13831" width="11.77734375" style="284" bestFit="1" customWidth="1"/>
    <col min="13832" max="13832" width="14.77734375" style="284" bestFit="1" customWidth="1"/>
    <col min="13833" max="14078" width="12.44140625" style="284"/>
    <col min="14079" max="14079" width="34" style="284" bestFit="1" customWidth="1"/>
    <col min="14080" max="14080" width="13" style="284" bestFit="1" customWidth="1"/>
    <col min="14081" max="14082" width="14.77734375" style="284" bestFit="1" customWidth="1"/>
    <col min="14083" max="14083" width="13.109375" style="284" customWidth="1"/>
    <col min="14084" max="14085" width="13" style="284" bestFit="1" customWidth="1"/>
    <col min="14086" max="14086" width="12.77734375" style="284" customWidth="1"/>
    <col min="14087" max="14087" width="11.77734375" style="284" bestFit="1" customWidth="1"/>
    <col min="14088" max="14088" width="14.77734375" style="284" bestFit="1" customWidth="1"/>
    <col min="14089" max="14334" width="12.44140625" style="284"/>
    <col min="14335" max="14335" width="34" style="284" bestFit="1" customWidth="1"/>
    <col min="14336" max="14336" width="13" style="284" bestFit="1" customWidth="1"/>
    <col min="14337" max="14338" width="14.77734375" style="284" bestFit="1" customWidth="1"/>
    <col min="14339" max="14339" width="13.109375" style="284" customWidth="1"/>
    <col min="14340" max="14341" width="13" style="284" bestFit="1" customWidth="1"/>
    <col min="14342" max="14342" width="12.77734375" style="284" customWidth="1"/>
    <col min="14343" max="14343" width="11.77734375" style="284" bestFit="1" customWidth="1"/>
    <col min="14344" max="14344" width="14.77734375" style="284" bestFit="1" customWidth="1"/>
    <col min="14345" max="14590" width="12.44140625" style="284"/>
    <col min="14591" max="14591" width="34" style="284" bestFit="1" customWidth="1"/>
    <col min="14592" max="14592" width="13" style="284" bestFit="1" customWidth="1"/>
    <col min="14593" max="14594" width="14.77734375" style="284" bestFit="1" customWidth="1"/>
    <col min="14595" max="14595" width="13.109375" style="284" customWidth="1"/>
    <col min="14596" max="14597" width="13" style="284" bestFit="1" customWidth="1"/>
    <col min="14598" max="14598" width="12.77734375" style="284" customWidth="1"/>
    <col min="14599" max="14599" width="11.77734375" style="284" bestFit="1" customWidth="1"/>
    <col min="14600" max="14600" width="14.77734375" style="284" bestFit="1" customWidth="1"/>
    <col min="14601" max="14846" width="12.44140625" style="284"/>
    <col min="14847" max="14847" width="34" style="284" bestFit="1" customWidth="1"/>
    <col min="14848" max="14848" width="13" style="284" bestFit="1" customWidth="1"/>
    <col min="14849" max="14850" width="14.77734375" style="284" bestFit="1" customWidth="1"/>
    <col min="14851" max="14851" width="13.109375" style="284" customWidth="1"/>
    <col min="14852" max="14853" width="13" style="284" bestFit="1" customWidth="1"/>
    <col min="14854" max="14854" width="12.77734375" style="284" customWidth="1"/>
    <col min="14855" max="14855" width="11.77734375" style="284" bestFit="1" customWidth="1"/>
    <col min="14856" max="14856" width="14.77734375" style="284" bestFit="1" customWidth="1"/>
    <col min="14857" max="15102" width="12.44140625" style="284"/>
    <col min="15103" max="15103" width="34" style="284" bestFit="1" customWidth="1"/>
    <col min="15104" max="15104" width="13" style="284" bestFit="1" customWidth="1"/>
    <col min="15105" max="15106" width="14.77734375" style="284" bestFit="1" customWidth="1"/>
    <col min="15107" max="15107" width="13.109375" style="284" customWidth="1"/>
    <col min="15108" max="15109" width="13" style="284" bestFit="1" customWidth="1"/>
    <col min="15110" max="15110" width="12.77734375" style="284" customWidth="1"/>
    <col min="15111" max="15111" width="11.77734375" style="284" bestFit="1" customWidth="1"/>
    <col min="15112" max="15112" width="14.77734375" style="284" bestFit="1" customWidth="1"/>
    <col min="15113" max="15358" width="12.44140625" style="284"/>
    <col min="15359" max="15359" width="34" style="284" bestFit="1" customWidth="1"/>
    <col min="15360" max="15360" width="13" style="284" bestFit="1" customWidth="1"/>
    <col min="15361" max="15362" width="14.77734375" style="284" bestFit="1" customWidth="1"/>
    <col min="15363" max="15363" width="13.109375" style="284" customWidth="1"/>
    <col min="15364" max="15365" width="13" style="284" bestFit="1" customWidth="1"/>
    <col min="15366" max="15366" width="12.77734375" style="284" customWidth="1"/>
    <col min="15367" max="15367" width="11.77734375" style="284" bestFit="1" customWidth="1"/>
    <col min="15368" max="15368" width="14.77734375" style="284" bestFit="1" customWidth="1"/>
    <col min="15369" max="15614" width="12.44140625" style="284"/>
    <col min="15615" max="15615" width="34" style="284" bestFit="1" customWidth="1"/>
    <col min="15616" max="15616" width="13" style="284" bestFit="1" customWidth="1"/>
    <col min="15617" max="15618" width="14.77734375" style="284" bestFit="1" customWidth="1"/>
    <col min="15619" max="15619" width="13.109375" style="284" customWidth="1"/>
    <col min="15620" max="15621" width="13" style="284" bestFit="1" customWidth="1"/>
    <col min="15622" max="15622" width="12.77734375" style="284" customWidth="1"/>
    <col min="15623" max="15623" width="11.77734375" style="284" bestFit="1" customWidth="1"/>
    <col min="15624" max="15624" width="14.77734375" style="284" bestFit="1" customWidth="1"/>
    <col min="15625" max="15870" width="12.44140625" style="284"/>
    <col min="15871" max="15871" width="34" style="284" bestFit="1" customWidth="1"/>
    <col min="15872" max="15872" width="13" style="284" bestFit="1" customWidth="1"/>
    <col min="15873" max="15874" width="14.77734375" style="284" bestFit="1" customWidth="1"/>
    <col min="15875" max="15875" width="13.109375" style="284" customWidth="1"/>
    <col min="15876" max="15877" width="13" style="284" bestFit="1" customWidth="1"/>
    <col min="15878" max="15878" width="12.77734375" style="284" customWidth="1"/>
    <col min="15879" max="15879" width="11.77734375" style="284" bestFit="1" customWidth="1"/>
    <col min="15880" max="15880" width="14.77734375" style="284" bestFit="1" customWidth="1"/>
    <col min="15881" max="16126" width="12.44140625" style="284"/>
    <col min="16127" max="16127" width="34" style="284" bestFit="1" customWidth="1"/>
    <col min="16128" max="16128" width="13" style="284" bestFit="1" customWidth="1"/>
    <col min="16129" max="16130" width="14.77734375" style="284" bestFit="1" customWidth="1"/>
    <col min="16131" max="16131" width="13.109375" style="284" customWidth="1"/>
    <col min="16132" max="16133" width="13" style="284" bestFit="1" customWidth="1"/>
    <col min="16134" max="16134" width="12.77734375" style="284" customWidth="1"/>
    <col min="16135" max="16135" width="11.77734375" style="284" bestFit="1" customWidth="1"/>
    <col min="16136" max="16136" width="14.77734375" style="284" bestFit="1" customWidth="1"/>
    <col min="16137" max="16384" width="12.44140625" style="284"/>
  </cols>
  <sheetData>
    <row r="1" spans="1:11" ht="13.2" x14ac:dyDescent="0.25">
      <c r="A1" s="1355" t="str">
        <f>CONCATENATE("21. melléklet"," ",ALAPADATOK!A7," ",ALAPADATOK!B7," ",ALAPADATOK!C7," ",ALAPADATOK!D7," ",ALAPADATOK!E7," ",ALAPADATOK!F7," ",ALAPADATOK!G7," ",ALAPADATOK!H7)</f>
        <v>21. melléklet a …. / 2024. ( .... ) önkormányzati rendelethez</v>
      </c>
      <c r="B1" s="1355"/>
      <c r="C1" s="1355"/>
      <c r="D1" s="1355"/>
      <c r="E1" s="1355"/>
      <c r="F1" s="1355"/>
      <c r="G1" s="1355"/>
      <c r="H1" s="1355"/>
      <c r="I1" s="1355"/>
      <c r="J1" s="1355"/>
      <c r="K1" s="1355"/>
    </row>
    <row r="2" spans="1:11" ht="13.2" x14ac:dyDescent="0.25">
      <c r="A2" s="546"/>
      <c r="B2" s="546"/>
      <c r="C2" s="546"/>
      <c r="D2" s="547"/>
      <c r="E2" s="546"/>
      <c r="F2" s="546"/>
      <c r="G2" s="549"/>
      <c r="H2" s="549"/>
      <c r="I2" s="549"/>
      <c r="J2" s="549"/>
      <c r="K2" s="550"/>
    </row>
    <row r="3" spans="1:11" ht="13.2" x14ac:dyDescent="0.25">
      <c r="A3" s="546"/>
      <c r="B3" s="546"/>
      <c r="C3" s="546"/>
      <c r="D3" s="547"/>
      <c r="E3" s="546"/>
      <c r="F3" s="546"/>
      <c r="G3" s="549"/>
      <c r="H3" s="549"/>
      <c r="I3" s="549"/>
      <c r="J3" s="549"/>
      <c r="K3" s="551"/>
    </row>
    <row r="4" spans="1:11" ht="18" x14ac:dyDescent="0.35">
      <c r="A4" s="1366" t="s">
        <v>362</v>
      </c>
      <c r="B4" s="1366"/>
      <c r="C4" s="1366"/>
      <c r="D4" s="1366"/>
      <c r="E4" s="1366"/>
      <c r="F4" s="1366"/>
      <c r="G4" s="1366"/>
      <c r="H4" s="1366"/>
      <c r="I4" s="1366"/>
      <c r="J4" s="1366"/>
      <c r="K4" s="1366"/>
    </row>
    <row r="5" spans="1:11" ht="18" x14ac:dyDescent="0.35">
      <c r="A5" s="1366" t="s">
        <v>1024</v>
      </c>
      <c r="B5" s="1366"/>
      <c r="C5" s="1366"/>
      <c r="D5" s="1366"/>
      <c r="E5" s="1366"/>
      <c r="F5" s="1366"/>
      <c r="G5" s="1366"/>
      <c r="H5" s="1366"/>
      <c r="I5" s="1366"/>
      <c r="J5" s="1366"/>
      <c r="K5" s="1366"/>
    </row>
    <row r="6" spans="1:11" ht="13.2" thickBot="1" x14ac:dyDescent="0.3">
      <c r="A6" s="822"/>
      <c r="B6" s="822"/>
      <c r="C6" s="822"/>
      <c r="D6" s="822"/>
      <c r="E6" s="822"/>
      <c r="F6" s="822"/>
      <c r="G6" s="822"/>
      <c r="H6" s="822"/>
      <c r="I6" s="822"/>
      <c r="J6" s="822"/>
      <c r="K6" s="822"/>
    </row>
    <row r="7" spans="1:11" ht="15.9" customHeight="1" x14ac:dyDescent="0.25">
      <c r="A7" s="1356" t="s">
        <v>831</v>
      </c>
      <c r="B7" s="1358" t="s">
        <v>372</v>
      </c>
      <c r="C7" s="1359"/>
      <c r="D7" s="1360"/>
      <c r="E7" s="1361" t="s">
        <v>373</v>
      </c>
      <c r="F7" s="1362"/>
      <c r="G7" s="1362"/>
      <c r="H7" s="1362"/>
      <c r="I7" s="1362"/>
      <c r="J7" s="1362"/>
      <c r="K7" s="1363"/>
    </row>
    <row r="8" spans="1:11" ht="15.9" customHeight="1" x14ac:dyDescent="0.25">
      <c r="A8" s="1357"/>
      <c r="B8" s="1367" t="s">
        <v>856</v>
      </c>
      <c r="C8" s="1367" t="s">
        <v>941</v>
      </c>
      <c r="D8" s="1367" t="s">
        <v>861</v>
      </c>
      <c r="E8" s="1367" t="s">
        <v>857</v>
      </c>
      <c r="F8" s="1367" t="s">
        <v>862</v>
      </c>
      <c r="G8" s="1367" t="s">
        <v>858</v>
      </c>
      <c r="H8" s="1364" t="s">
        <v>136</v>
      </c>
      <c r="I8" s="1367" t="s">
        <v>860</v>
      </c>
      <c r="J8" s="1367" t="s">
        <v>859</v>
      </c>
      <c r="K8" s="1369" t="s">
        <v>861</v>
      </c>
    </row>
    <row r="9" spans="1:11" ht="15.9" customHeight="1" thickBot="1" x14ac:dyDescent="0.3">
      <c r="A9" s="1357"/>
      <c r="B9" s="1368"/>
      <c r="C9" s="1368"/>
      <c r="D9" s="1368"/>
      <c r="E9" s="1368"/>
      <c r="F9" s="1368"/>
      <c r="G9" s="1368"/>
      <c r="H9" s="1365"/>
      <c r="I9" s="1368"/>
      <c r="J9" s="1368"/>
      <c r="K9" s="1370"/>
    </row>
    <row r="10" spans="1:11" ht="15.9" customHeight="1" thickBot="1" x14ac:dyDescent="0.3">
      <c r="A10" s="947" t="s">
        <v>382</v>
      </c>
      <c r="B10" s="948" t="s">
        <v>383</v>
      </c>
      <c r="C10" s="948" t="s">
        <v>906</v>
      </c>
      <c r="D10" s="948" t="s">
        <v>905</v>
      </c>
      <c r="E10" s="948" t="s">
        <v>435</v>
      </c>
      <c r="F10" s="948" t="s">
        <v>899</v>
      </c>
      <c r="G10" s="948" t="s">
        <v>900</v>
      </c>
      <c r="H10" s="949" t="s">
        <v>901</v>
      </c>
      <c r="I10" s="948" t="s">
        <v>902</v>
      </c>
      <c r="J10" s="948" t="s">
        <v>903</v>
      </c>
      <c r="K10" s="950" t="s">
        <v>904</v>
      </c>
    </row>
    <row r="11" spans="1:11" ht="18" customHeight="1" x14ac:dyDescent="0.25">
      <c r="A11" s="1024" t="s">
        <v>479</v>
      </c>
      <c r="B11" s="1025">
        <f>'17. sz. mell. PH.'!C36+'17. sz. mell. PH.'!C38</f>
        <v>68580765</v>
      </c>
      <c r="C11" s="1026">
        <f>K11-B11</f>
        <v>665061379</v>
      </c>
      <c r="D11" s="1027">
        <f>SUM(B11:C11)</f>
        <v>733642144</v>
      </c>
      <c r="E11" s="1028">
        <f>'17. sz. mell. PH.'!C46</f>
        <v>280273727</v>
      </c>
      <c r="F11" s="1028">
        <f>'17. sz. mell. PH.'!C47</f>
        <v>42621838</v>
      </c>
      <c r="G11" s="1028">
        <f>'17. sz. mell. PH.'!C48</f>
        <v>404960081</v>
      </c>
      <c r="H11" s="1029">
        <f>'17. sz. mell. PH.'!C50</f>
        <v>0</v>
      </c>
      <c r="I11" s="1029">
        <f>'17. sz. mell. PH.'!C49</f>
        <v>0</v>
      </c>
      <c r="J11" s="1028">
        <f>'17. sz. mell. PH.'!C52</f>
        <v>5786498</v>
      </c>
      <c r="K11" s="1030">
        <f>SUM(E11:J11)</f>
        <v>733642144</v>
      </c>
    </row>
    <row r="12" spans="1:11" ht="15.9" customHeight="1" x14ac:dyDescent="0.25">
      <c r="A12" s="942" t="s">
        <v>0</v>
      </c>
      <c r="B12" s="943">
        <f>'21. sz. mell TEOI'!C35+'21. sz. mell TEOI'!C37</f>
        <v>10312128</v>
      </c>
      <c r="C12" s="943">
        <f>K12-B12</f>
        <v>581606598</v>
      </c>
      <c r="D12" s="944">
        <f>B12+C12</f>
        <v>591918726</v>
      </c>
      <c r="E12" s="943">
        <f>'21. sz. mell TEOI'!C43</f>
        <v>409187149</v>
      </c>
      <c r="F12" s="943">
        <f>'21. sz. mell TEOI'!C44</f>
        <v>51190551</v>
      </c>
      <c r="G12" s="943">
        <f>'21. sz. mell TEOI'!C45</f>
        <v>127466866</v>
      </c>
      <c r="H12" s="945">
        <f>'21. sz. mell TEOI'!C47</f>
        <v>0</v>
      </c>
      <c r="I12" s="945">
        <f>'21. sz. mell TEOI'!C46</f>
        <v>0</v>
      </c>
      <c r="J12" s="945">
        <f>'21. sz. mell TEOI'!C48</f>
        <v>4074160</v>
      </c>
      <c r="K12" s="946">
        <f>SUM(E12:J12)</f>
        <v>591918726</v>
      </c>
    </row>
    <row r="13" spans="1:11" ht="15.9" customHeight="1" x14ac:dyDescent="0.25">
      <c r="A13" s="552" t="s">
        <v>490</v>
      </c>
      <c r="B13" s="811">
        <f>'24. sz. mell EKIK'!C36+'24. sz. mell EKIK'!C38</f>
        <v>27425609</v>
      </c>
      <c r="C13" s="811">
        <f>K13-B13</f>
        <v>229497314</v>
      </c>
      <c r="D13" s="647">
        <f>B13+C13</f>
        <v>256922923</v>
      </c>
      <c r="E13" s="811">
        <f>'24. sz. mell EKIK'!C46</f>
        <v>102620682</v>
      </c>
      <c r="F13" s="811">
        <f>'24. sz. mell EKIK'!C47</f>
        <v>14528745</v>
      </c>
      <c r="G13" s="811">
        <f>'24. sz. mell EKIK'!C48</f>
        <v>135519496</v>
      </c>
      <c r="H13" s="811">
        <f>'24. sz. mell EKIK'!C50</f>
        <v>1000</v>
      </c>
      <c r="I13" s="811">
        <f>'24. sz. mell EKIK'!C49</f>
        <v>0</v>
      </c>
      <c r="J13" s="811">
        <f>'24. sz. mell EKIK'!C51</f>
        <v>4253000</v>
      </c>
      <c r="K13" s="637">
        <f>SUM(E13:J13)</f>
        <v>256922923</v>
      </c>
    </row>
    <row r="14" spans="1:11" ht="18" customHeight="1" x14ac:dyDescent="0.25">
      <c r="A14" s="553" t="s">
        <v>478</v>
      </c>
      <c r="B14" s="809">
        <f>'27. sz. mell Kornisné Kp.'!C36+'27. sz. mell Kornisné Kp.'!C38</f>
        <v>618745217</v>
      </c>
      <c r="C14" s="811">
        <f>K14-B14</f>
        <v>1015365205</v>
      </c>
      <c r="D14" s="647">
        <f>B14+C14</f>
        <v>1634110422</v>
      </c>
      <c r="E14" s="978">
        <f>'27. sz. mell Kornisné Kp.'!C44</f>
        <v>880315606</v>
      </c>
      <c r="F14" s="978">
        <f>'27. sz. mell Kornisné Kp.'!C45</f>
        <v>114950794</v>
      </c>
      <c r="G14" s="811">
        <f>'27. sz. mell Kornisné Kp.'!C46</f>
        <v>455013533</v>
      </c>
      <c r="H14" s="811">
        <f>'27. sz. mell Kornisné Kp.'!C48</f>
        <v>129050489</v>
      </c>
      <c r="I14" s="811">
        <f>'27. sz. mell Kornisné Kp.'!C47</f>
        <v>0</v>
      </c>
      <c r="J14" s="978">
        <f>'27. sz. mell Kornisné Kp.'!C49</f>
        <v>54780000</v>
      </c>
      <c r="K14" s="637">
        <f>SUM(E14:J14)</f>
        <v>1634110422</v>
      </c>
    </row>
    <row r="15" spans="1:11" ht="18" customHeight="1" x14ac:dyDescent="0.25">
      <c r="A15" s="553" t="s">
        <v>468</v>
      </c>
      <c r="B15" s="809">
        <f>'31. sz. mell TIB  '!C36+'31. sz. mell TIB  '!C38</f>
        <v>2043079</v>
      </c>
      <c r="C15" s="811">
        <f>K15-B15</f>
        <v>193265720</v>
      </c>
      <c r="D15" s="647">
        <f>B15+C15</f>
        <v>195308799</v>
      </c>
      <c r="E15" s="914">
        <f>'31. sz. mell TIB  '!C44</f>
        <v>146096955</v>
      </c>
      <c r="F15" s="914">
        <f>'31. sz. mell TIB  '!C45</f>
        <v>19261474</v>
      </c>
      <c r="G15" s="914">
        <f>'31. sz. mell TIB  '!C46</f>
        <v>29442370</v>
      </c>
      <c r="H15" s="638">
        <f>'31. sz. mell TIB  '!C48</f>
        <v>0</v>
      </c>
      <c r="I15" s="638">
        <f>'31. sz. mell TIB  '!C47</f>
        <v>0</v>
      </c>
      <c r="J15" s="812">
        <f>'31. sz. mell TIB  '!C49</f>
        <v>508000</v>
      </c>
      <c r="K15" s="637">
        <f>SUM(E15:J15)</f>
        <v>195308799</v>
      </c>
    </row>
    <row r="16" spans="1:11" s="390" customFormat="1" ht="18" customHeight="1" thickBot="1" x14ac:dyDescent="0.3">
      <c r="A16" s="554" t="s">
        <v>363</v>
      </c>
      <c r="B16" s="629">
        <f>SUM(B11:B15)</f>
        <v>727106798</v>
      </c>
      <c r="C16" s="629">
        <f t="shared" ref="C16:J16" si="0">SUM(C11:C15)</f>
        <v>2684796216</v>
      </c>
      <c r="D16" s="629">
        <f t="shared" si="0"/>
        <v>3411903014</v>
      </c>
      <c r="E16" s="629">
        <f t="shared" si="0"/>
        <v>1818494119</v>
      </c>
      <c r="F16" s="629">
        <f t="shared" si="0"/>
        <v>242553402</v>
      </c>
      <c r="G16" s="629">
        <f t="shared" si="0"/>
        <v>1152402346</v>
      </c>
      <c r="H16" s="629">
        <f t="shared" si="0"/>
        <v>129051489</v>
      </c>
      <c r="I16" s="629">
        <f t="shared" si="0"/>
        <v>0</v>
      </c>
      <c r="J16" s="629">
        <f t="shared" si="0"/>
        <v>69401658</v>
      </c>
      <c r="K16" s="1031">
        <f>SUM(K11:K15)</f>
        <v>3411903014</v>
      </c>
    </row>
    <row r="17" spans="1:11" s="352" customFormat="1" ht="10.199999999999999" x14ac:dyDescent="0.2">
      <c r="A17" s="555"/>
      <c r="B17" s="555"/>
      <c r="C17" s="555"/>
      <c r="D17" s="556"/>
      <c r="E17" s="555"/>
      <c r="F17" s="555"/>
      <c r="G17" s="555"/>
      <c r="H17" s="555"/>
      <c r="I17" s="555"/>
      <c r="J17" s="555"/>
      <c r="K17" s="556"/>
    </row>
    <row r="18" spans="1:11" s="352" customFormat="1" ht="10.199999999999999" hidden="1" x14ac:dyDescent="0.2">
      <c r="A18" s="1032" t="s">
        <v>942</v>
      </c>
      <c r="B18" s="555">
        <f>'14. sz. mell. Önk.'!C90</f>
        <v>6363953898</v>
      </c>
      <c r="C18" s="555"/>
      <c r="D18" s="556"/>
      <c r="E18" s="555"/>
      <c r="F18" s="555"/>
      <c r="G18" s="555"/>
      <c r="H18" s="555"/>
      <c r="I18" s="555"/>
      <c r="J18" s="555"/>
      <c r="K18" s="555">
        <f>'14. sz. mell. Önk.'!C153</f>
        <v>3679157682</v>
      </c>
    </row>
    <row r="19" spans="1:11" hidden="1" x14ac:dyDescent="0.25">
      <c r="B19" s="555">
        <f>SUM(B16:B18)</f>
        <v>7091060696</v>
      </c>
      <c r="C19" s="557"/>
      <c r="D19" s="557"/>
      <c r="K19" s="555">
        <f>SUM(K16:K18)</f>
        <v>7091060696</v>
      </c>
    </row>
    <row r="20" spans="1:11" hidden="1" x14ac:dyDescent="0.25">
      <c r="B20" s="555">
        <f>'1. sz.mell. '!C94</f>
        <v>7091060696</v>
      </c>
      <c r="C20" s="557"/>
      <c r="K20" s="555">
        <f>'1. sz.mell. '!C160</f>
        <v>7091060696</v>
      </c>
    </row>
    <row r="21" spans="1:11" hidden="1" x14ac:dyDescent="0.25">
      <c r="B21" s="555">
        <f>B20-B19</f>
        <v>0</v>
      </c>
      <c r="K21" s="555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7"/>
  <sheetViews>
    <sheetView view="pageBreakPreview" zoomScale="130" zoomScaleNormal="130" zoomScaleSheetLayoutView="130" workbookViewId="0">
      <selection activeCell="A5" sqref="A5"/>
    </sheetView>
  </sheetViews>
  <sheetFormatPr defaultColWidth="10.6640625" defaultRowHeight="12.6" x14ac:dyDescent="0.25"/>
  <cols>
    <col min="1" max="1" width="66.33203125" style="394" bestFit="1" customWidth="1"/>
    <col min="2" max="2" width="22.6640625" style="394" customWidth="1"/>
    <col min="3" max="3" width="11.6640625" style="394" bestFit="1" customWidth="1"/>
    <col min="4" max="16384" width="10.6640625" style="394"/>
  </cols>
  <sheetData>
    <row r="1" spans="1:5" ht="15.6" x14ac:dyDescent="0.3">
      <c r="A1" s="1371" t="str">
        <f>CONCATENATE("22. melléklet"," ",ALAPADATOK!A7," ",ALAPADATOK!B7," ",ALAPADATOK!C7," ",ALAPADATOK!D7," ",ALAPADATOK!E7," ",ALAPADATOK!F7," ",ALAPADATOK!G7," ",ALAPADATOK!H7)</f>
        <v>22. melléklet a …. / 2024. ( .... ) önkormányzati rendelethez</v>
      </c>
      <c r="B1" s="1371"/>
      <c r="C1" s="285"/>
      <c r="D1" s="285"/>
      <c r="E1" s="285"/>
    </row>
    <row r="2" spans="1:5" ht="15.6" x14ac:dyDescent="0.3">
      <c r="A2" s="285"/>
      <c r="B2" s="286"/>
    </row>
    <row r="3" spans="1:5" ht="15.6" x14ac:dyDescent="0.3">
      <c r="A3" s="285"/>
      <c r="B3" s="333"/>
    </row>
    <row r="4" spans="1:5" ht="15.6" x14ac:dyDescent="0.3">
      <c r="A4" s="285"/>
      <c r="B4" s="334"/>
    </row>
    <row r="5" spans="1:5" ht="15.6" x14ac:dyDescent="0.3">
      <c r="A5" s="285"/>
      <c r="B5" s="334"/>
    </row>
    <row r="6" spans="1:5" ht="15.6" x14ac:dyDescent="0.3">
      <c r="A6" s="285"/>
      <c r="B6" s="335"/>
    </row>
    <row r="7" spans="1:5" ht="18" x14ac:dyDescent="0.25">
      <c r="A7" s="1372" t="s">
        <v>359</v>
      </c>
      <c r="B7" s="1372"/>
    </row>
    <row r="8" spans="1:5" ht="18" x14ac:dyDescent="0.35">
      <c r="A8" s="1373" t="s">
        <v>1025</v>
      </c>
      <c r="B8" s="1373"/>
    </row>
    <row r="9" spans="1:5" ht="18.600000000000001" thickBot="1" x14ac:dyDescent="0.4">
      <c r="A9" s="882"/>
      <c r="B9" s="882"/>
    </row>
    <row r="10" spans="1:5" s="395" customFormat="1" ht="33" customHeight="1" thickBot="1" x14ac:dyDescent="0.3">
      <c r="A10" s="817" t="s">
        <v>57</v>
      </c>
      <c r="B10" s="901" t="s">
        <v>863</v>
      </c>
    </row>
    <row r="11" spans="1:5" ht="16.2" thickBot="1" x14ac:dyDescent="0.35">
      <c r="A11" s="955" t="s">
        <v>907</v>
      </c>
      <c r="B11" s="1265">
        <f>10000000+8212136</f>
        <v>18212136</v>
      </c>
    </row>
    <row r="12" spans="1:5" ht="16.2" thickBot="1" x14ac:dyDescent="0.35">
      <c r="A12" s="955" t="s">
        <v>360</v>
      </c>
      <c r="B12" s="951">
        <f>SUM(B13:B23)</f>
        <v>122176108</v>
      </c>
    </row>
    <row r="13" spans="1:5" ht="15.6" x14ac:dyDescent="0.3">
      <c r="A13" s="952" t="s">
        <v>561</v>
      </c>
      <c r="B13" s="1264">
        <f>10000000-10000000</f>
        <v>0</v>
      </c>
      <c r="C13" s="337"/>
      <c r="D13" s="336"/>
    </row>
    <row r="14" spans="1:5" ht="15.6" x14ac:dyDescent="0.3">
      <c r="A14" s="953" t="s">
        <v>562</v>
      </c>
      <c r="B14" s="1052">
        <v>50000</v>
      </c>
      <c r="C14" s="337"/>
      <c r="D14" s="336"/>
    </row>
    <row r="15" spans="1:5" ht="15.6" x14ac:dyDescent="0.3">
      <c r="A15" s="1050" t="s">
        <v>1055</v>
      </c>
      <c r="B15" s="1052">
        <v>628002</v>
      </c>
      <c r="C15" s="337"/>
      <c r="D15" s="336"/>
    </row>
    <row r="16" spans="1:5" ht="31.2" x14ac:dyDescent="0.3">
      <c r="A16" s="1051" t="s">
        <v>999</v>
      </c>
      <c r="B16" s="1052">
        <v>16484142</v>
      </c>
      <c r="C16" s="337"/>
      <c r="D16" s="336"/>
    </row>
    <row r="17" spans="1:4" ht="15.6" x14ac:dyDescent="0.3">
      <c r="A17" s="954" t="s">
        <v>808</v>
      </c>
      <c r="B17" s="1052">
        <v>16904809</v>
      </c>
      <c r="C17" s="337"/>
      <c r="D17" s="336"/>
    </row>
    <row r="18" spans="1:4" ht="15.6" x14ac:dyDescent="0.3">
      <c r="A18" s="1051" t="s">
        <v>1052</v>
      </c>
      <c r="B18" s="1052">
        <v>24532155</v>
      </c>
      <c r="C18" s="337"/>
      <c r="D18" s="336"/>
    </row>
    <row r="19" spans="1:4" ht="15.6" x14ac:dyDescent="0.3">
      <c r="A19" s="954" t="s">
        <v>1053</v>
      </c>
      <c r="B19" s="1052">
        <v>450000</v>
      </c>
      <c r="C19" s="337"/>
      <c r="D19" s="336"/>
    </row>
    <row r="20" spans="1:4" ht="15.6" x14ac:dyDescent="0.3">
      <c r="A20" s="954" t="s">
        <v>496</v>
      </c>
      <c r="B20" s="1052">
        <v>4500000</v>
      </c>
      <c r="C20" s="337"/>
      <c r="D20" s="336"/>
    </row>
    <row r="21" spans="1:4" ht="15.6" x14ac:dyDescent="0.3">
      <c r="A21" s="954" t="s">
        <v>684</v>
      </c>
      <c r="B21" s="1053">
        <v>20000000</v>
      </c>
      <c r="C21" s="337"/>
      <c r="D21" s="336"/>
    </row>
    <row r="22" spans="1:4" ht="15.6" x14ac:dyDescent="0.3">
      <c r="A22" s="954" t="s">
        <v>1056</v>
      </c>
      <c r="B22" s="1053">
        <v>16000000</v>
      </c>
      <c r="C22" s="337"/>
      <c r="D22" s="336"/>
    </row>
    <row r="23" spans="1:4" ht="16.2" thickBot="1" x14ac:dyDescent="0.35">
      <c r="A23" s="1113" t="s">
        <v>1054</v>
      </c>
      <c r="B23" s="1053">
        <v>22627000</v>
      </c>
      <c r="C23" s="337"/>
      <c r="D23" s="336"/>
    </row>
    <row r="24" spans="1:4" ht="17.25" customHeight="1" thickBot="1" x14ac:dyDescent="0.35">
      <c r="A24" s="955" t="s">
        <v>361</v>
      </c>
      <c r="B24" s="1054">
        <f>B11+B12</f>
        <v>140388244</v>
      </c>
    </row>
    <row r="26" spans="1:4" x14ac:dyDescent="0.25">
      <c r="A26" s="1033" t="s">
        <v>942</v>
      </c>
      <c r="B26" s="394">
        <f>'1. sz.mell. '!C117</f>
        <v>140388244</v>
      </c>
    </row>
    <row r="27" spans="1:4" x14ac:dyDescent="0.25">
      <c r="B27" s="1034">
        <f>B24-B26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/>
  <dimension ref="A1:K161"/>
  <sheetViews>
    <sheetView zoomScale="115" zoomScaleNormal="115" zoomScaleSheetLayoutView="115" workbookViewId="0">
      <selection activeCell="D12" sqref="D12"/>
    </sheetView>
  </sheetViews>
  <sheetFormatPr defaultColWidth="9.33203125" defaultRowHeight="15.6" x14ac:dyDescent="0.3"/>
  <cols>
    <col min="1" max="1" width="9" style="167" customWidth="1"/>
    <col min="2" max="2" width="67.109375" style="167" bestFit="1" customWidth="1"/>
    <col min="3" max="3" width="16.44140625" style="608" customWidth="1"/>
    <col min="4" max="5" width="15.44140625" style="608" customWidth="1"/>
    <col min="6" max="6" width="14.33203125" style="167" hidden="1" customWidth="1"/>
    <col min="7" max="7" width="12.6640625" style="167" hidden="1" customWidth="1"/>
    <col min="8" max="8" width="14.33203125" style="167" hidden="1" customWidth="1"/>
    <col min="9" max="10" width="0" style="167" hidden="1" customWidth="1"/>
    <col min="11" max="11" width="14.33203125" style="167" hidden="1" customWidth="1"/>
    <col min="12" max="28" width="0" style="167" hidden="1" customWidth="1"/>
    <col min="29" max="16384" width="9.33203125" style="167"/>
  </cols>
  <sheetData>
    <row r="1" spans="1:10" x14ac:dyDescent="0.3">
      <c r="A1" s="1281" t="str">
        <f>CONCATENATE("23. melléklet"," ",ALAPADATOK!A7," ",ALAPADATOK!B7," ",ALAPADATOK!C7," ",ALAPADATOK!D7," ",ALAPADATOK!E7," ",ALAPADATOK!F7," ",ALAPADATOK!G7," ",ALAPADATOK!H7)</f>
        <v>23. melléklet a …. / 2024. ( .... ) önkormányzati rendelethez</v>
      </c>
      <c r="B1" s="1281"/>
      <c r="C1" s="1281"/>
      <c r="D1" s="1281"/>
      <c r="E1" s="1281"/>
    </row>
    <row r="2" spans="1:10" x14ac:dyDescent="0.3">
      <c r="E2" s="967" t="s">
        <v>918</v>
      </c>
    </row>
    <row r="3" spans="1:10" ht="35.4" customHeight="1" x14ac:dyDescent="0.3">
      <c r="A3" s="1374" t="s">
        <v>1026</v>
      </c>
      <c r="B3" s="1279"/>
      <c r="C3" s="1279"/>
      <c r="D3" s="1279"/>
      <c r="E3" s="1279"/>
      <c r="J3" s="167" t="s">
        <v>723</v>
      </c>
    </row>
    <row r="5" spans="1:10" ht="15.9" customHeight="1" thickBot="1" x14ac:dyDescent="0.35">
      <c r="A5" s="1283" t="s">
        <v>864</v>
      </c>
      <c r="B5" s="1283"/>
      <c r="C5" s="1283"/>
      <c r="D5" s="1283"/>
      <c r="E5" s="1283"/>
    </row>
    <row r="6" spans="1:10" ht="38.1" customHeight="1" thickBot="1" x14ac:dyDescent="0.35">
      <c r="A6" s="20" t="s">
        <v>63</v>
      </c>
      <c r="B6" s="380" t="s">
        <v>15</v>
      </c>
      <c r="C6" s="1123" t="s">
        <v>1038</v>
      </c>
      <c r="D6" s="1119" t="s">
        <v>1039</v>
      </c>
      <c r="E6" s="760" t="s">
        <v>1010</v>
      </c>
    </row>
    <row r="7" spans="1:10" s="178" customFormat="1" ht="12.15" customHeight="1" thickBot="1" x14ac:dyDescent="0.25">
      <c r="A7" s="25" t="s">
        <v>382</v>
      </c>
      <c r="B7" s="275" t="s">
        <v>383</v>
      </c>
      <c r="C7" s="956" t="s">
        <v>384</v>
      </c>
      <c r="D7" s="957" t="s">
        <v>434</v>
      </c>
      <c r="E7" s="956" t="s">
        <v>435</v>
      </c>
    </row>
    <row r="8" spans="1:10" s="179" customFormat="1" ht="12.15" customHeight="1" thickBot="1" x14ac:dyDescent="0.3">
      <c r="A8" s="17" t="s">
        <v>16</v>
      </c>
      <c r="B8" s="362" t="s">
        <v>179</v>
      </c>
      <c r="C8" s="497">
        <f>SUM(C9:C16)-C11</f>
        <v>1797356954</v>
      </c>
      <c r="D8" s="495">
        <f>SUM(D9:D16)-D11</f>
        <v>2041620366</v>
      </c>
      <c r="E8" s="255">
        <f>'1. sz.mell. '!C11</f>
        <v>2356863895</v>
      </c>
      <c r="F8" s="255">
        <f>+F9+F10+F11+F14+F15+F16</f>
        <v>1460810310</v>
      </c>
      <c r="G8" s="110">
        <f>+G9+G10+G11+G14+G15+G16</f>
        <v>0</v>
      </c>
      <c r="H8" s="110">
        <f>+H9+H10+H11+H14+H15+H16</f>
        <v>0</v>
      </c>
    </row>
    <row r="9" spans="1:10" s="179" customFormat="1" ht="12.15" customHeight="1" x14ac:dyDescent="0.25">
      <c r="A9" s="12" t="s">
        <v>85</v>
      </c>
      <c r="B9" s="266" t="s">
        <v>180</v>
      </c>
      <c r="C9" s="779">
        <v>301236891</v>
      </c>
      <c r="D9" s="770">
        <v>445216727</v>
      </c>
      <c r="E9" s="383">
        <f>'1. sz.mell. '!C12</f>
        <v>335527915</v>
      </c>
      <c r="F9" s="214">
        <v>211161846</v>
      </c>
      <c r="G9" s="214"/>
      <c r="H9" s="214"/>
    </row>
    <row r="10" spans="1:10" s="179" customFormat="1" ht="12.15" customHeight="1" x14ac:dyDescent="0.25">
      <c r="A10" s="11" t="s">
        <v>86</v>
      </c>
      <c r="B10" s="267" t="s">
        <v>181</v>
      </c>
      <c r="C10" s="780">
        <v>292268671</v>
      </c>
      <c r="D10" s="771">
        <v>336635833</v>
      </c>
      <c r="E10" s="274">
        <f>'1. sz.mell. '!C13</f>
        <v>495393274</v>
      </c>
      <c r="F10" s="114">
        <v>235351616</v>
      </c>
      <c r="G10" s="114"/>
      <c r="H10" s="114"/>
    </row>
    <row r="11" spans="1:10" s="179" customFormat="1" ht="12.15" customHeight="1" x14ac:dyDescent="0.25">
      <c r="A11" s="11" t="s">
        <v>87</v>
      </c>
      <c r="B11" s="267" t="s">
        <v>182</v>
      </c>
      <c r="C11" s="780">
        <f>SUM(C12:C13)</f>
        <v>1069330764</v>
      </c>
      <c r="D11" s="771">
        <f>SUM(D12:D13)</f>
        <v>1166031052</v>
      </c>
      <c r="E11" s="274">
        <f>'1. sz.mell. '!C14</f>
        <v>1253331368</v>
      </c>
      <c r="F11" s="114">
        <f>132342947+82528441+152850000+191583306+50232560+61299400+1796961+73694436</f>
        <v>746328051</v>
      </c>
      <c r="G11" s="114"/>
      <c r="H11" s="114"/>
    </row>
    <row r="12" spans="1:10" s="179" customFormat="1" ht="24" customHeight="1" x14ac:dyDescent="0.25">
      <c r="A12" s="11" t="s">
        <v>694</v>
      </c>
      <c r="B12" s="267" t="s">
        <v>697</v>
      </c>
      <c r="C12" s="780">
        <v>763537895</v>
      </c>
      <c r="D12" s="771">
        <v>806137581</v>
      </c>
      <c r="E12" s="274">
        <f>'1. sz.mell. '!C15</f>
        <v>897445406</v>
      </c>
      <c r="F12" s="114"/>
      <c r="G12" s="114"/>
      <c r="H12" s="114"/>
    </row>
    <row r="13" spans="1:10" s="179" customFormat="1" ht="12.15" customHeight="1" x14ac:dyDescent="0.25">
      <c r="A13" s="11" t="s">
        <v>695</v>
      </c>
      <c r="B13" s="267" t="s">
        <v>698</v>
      </c>
      <c r="C13" s="780">
        <v>305792869</v>
      </c>
      <c r="D13" s="771">
        <v>359893471</v>
      </c>
      <c r="E13" s="274">
        <f>'1. sz.mell. '!C16</f>
        <v>355885962</v>
      </c>
      <c r="F13" s="114"/>
      <c r="G13" s="114"/>
      <c r="H13" s="114"/>
    </row>
    <row r="14" spans="1:10" s="179" customFormat="1" ht="12.15" customHeight="1" x14ac:dyDescent="0.25">
      <c r="A14" s="11" t="s">
        <v>88</v>
      </c>
      <c r="B14" s="267" t="s">
        <v>183</v>
      </c>
      <c r="C14" s="780">
        <v>42342119</v>
      </c>
      <c r="D14" s="771">
        <v>60639347</v>
      </c>
      <c r="E14" s="274">
        <f>'1. sz.mell. '!C17</f>
        <v>59224282</v>
      </c>
      <c r="F14" s="114">
        <f>4617241+15998620+12622000</f>
        <v>33237861</v>
      </c>
      <c r="G14" s="114"/>
      <c r="H14" s="114"/>
    </row>
    <row r="15" spans="1:10" s="179" customFormat="1" ht="12.15" customHeight="1" x14ac:dyDescent="0.25">
      <c r="A15" s="11" t="s">
        <v>111</v>
      </c>
      <c r="B15" s="363" t="s">
        <v>385</v>
      </c>
      <c r="C15" s="780">
        <v>83810113</v>
      </c>
      <c r="D15" s="771">
        <v>32995731</v>
      </c>
      <c r="E15" s="274">
        <f>'1. sz.mell. '!C18</f>
        <v>213387056</v>
      </c>
      <c r="F15" s="114">
        <f>29417493+205313443</f>
        <v>234730936</v>
      </c>
      <c r="G15" s="114"/>
      <c r="H15" s="114"/>
    </row>
    <row r="16" spans="1:10" s="179" customFormat="1" ht="12.15" customHeight="1" thickBot="1" x14ac:dyDescent="0.3">
      <c r="A16" s="13" t="s">
        <v>89</v>
      </c>
      <c r="B16" s="364" t="s">
        <v>386</v>
      </c>
      <c r="C16" s="781">
        <v>8368396</v>
      </c>
      <c r="D16" s="772">
        <v>101676</v>
      </c>
      <c r="E16" s="384">
        <f>'1. sz.mell. '!C19</f>
        <v>0</v>
      </c>
      <c r="F16" s="99"/>
      <c r="G16" s="111"/>
      <c r="H16" s="111"/>
    </row>
    <row r="17" spans="1:8" s="179" customFormat="1" ht="12.15" customHeight="1" thickBot="1" x14ac:dyDescent="0.3">
      <c r="A17" s="17" t="s">
        <v>17</v>
      </c>
      <c r="B17" s="365" t="s">
        <v>184</v>
      </c>
      <c r="C17" s="689">
        <f>SUM(C18:C22)</f>
        <v>459913341</v>
      </c>
      <c r="D17" s="773">
        <f>SUM(D18:D22)</f>
        <v>524684483</v>
      </c>
      <c r="E17" s="110">
        <f>'1. sz.mell. '!C20</f>
        <v>569338983</v>
      </c>
      <c r="F17" s="255">
        <f>+F18+F19+F20+F21+F22</f>
        <v>203725813</v>
      </c>
      <c r="G17" s="110">
        <f>+G18+G19+G20+G21+G22</f>
        <v>0</v>
      </c>
      <c r="H17" s="110">
        <f>+H18+H19+H20+H21+H22</f>
        <v>22754943</v>
      </c>
    </row>
    <row r="18" spans="1:8" s="179" customFormat="1" ht="12.15" customHeight="1" x14ac:dyDescent="0.25">
      <c r="A18" s="12" t="s">
        <v>91</v>
      </c>
      <c r="B18" s="266" t="s">
        <v>185</v>
      </c>
      <c r="C18" s="779"/>
      <c r="D18" s="770"/>
      <c r="E18" s="383">
        <f>'1. sz.mell. '!C21</f>
        <v>0</v>
      </c>
      <c r="F18" s="256"/>
      <c r="G18" s="112"/>
      <c r="H18" s="112"/>
    </row>
    <row r="19" spans="1:8" s="179" customFormat="1" ht="12.15" customHeight="1" x14ac:dyDescent="0.25">
      <c r="A19" s="11" t="s">
        <v>92</v>
      </c>
      <c r="B19" s="267" t="s">
        <v>186</v>
      </c>
      <c r="C19" s="780"/>
      <c r="D19" s="771"/>
      <c r="E19" s="274">
        <f>'1. sz.mell. '!C22</f>
        <v>0</v>
      </c>
      <c r="F19" s="99"/>
      <c r="G19" s="111"/>
      <c r="H19" s="111"/>
    </row>
    <row r="20" spans="1:8" s="179" customFormat="1" ht="12.15" customHeight="1" x14ac:dyDescent="0.25">
      <c r="A20" s="11" t="s">
        <v>93</v>
      </c>
      <c r="B20" s="267" t="s">
        <v>352</v>
      </c>
      <c r="C20" s="780"/>
      <c r="D20" s="771"/>
      <c r="E20" s="274">
        <f>'1. sz.mell. '!C23</f>
        <v>0</v>
      </c>
      <c r="F20" s="99"/>
      <c r="G20" s="111"/>
      <c r="H20" s="111"/>
    </row>
    <row r="21" spans="1:8" s="179" customFormat="1" ht="12.15" customHeight="1" x14ac:dyDescent="0.25">
      <c r="A21" s="11" t="s">
        <v>94</v>
      </c>
      <c r="B21" s="267" t="s">
        <v>353</v>
      </c>
      <c r="C21" s="780"/>
      <c r="D21" s="771"/>
      <c r="E21" s="274">
        <f>'1. sz.mell. '!C24</f>
        <v>0</v>
      </c>
      <c r="F21" s="99"/>
      <c r="G21" s="111"/>
      <c r="H21" s="111"/>
    </row>
    <row r="22" spans="1:8" s="179" customFormat="1" ht="12.15" customHeight="1" x14ac:dyDescent="0.25">
      <c r="A22" s="11" t="s">
        <v>95</v>
      </c>
      <c r="B22" s="267" t="s">
        <v>187</v>
      </c>
      <c r="C22" s="780">
        <v>459913341</v>
      </c>
      <c r="D22" s="771">
        <v>524684483</v>
      </c>
      <c r="E22" s="274">
        <f>'1. sz.mell. '!C25</f>
        <v>569338983</v>
      </c>
      <c r="F22" s="246">
        <f>102792540+24250000+3975280+5670000+67037993</f>
        <v>203725813</v>
      </c>
      <c r="G22" s="114"/>
      <c r="H22" s="114">
        <v>22754943</v>
      </c>
    </row>
    <row r="23" spans="1:8" s="179" customFormat="1" ht="12.15" customHeight="1" thickBot="1" x14ac:dyDescent="0.3">
      <c r="A23" s="13" t="s">
        <v>104</v>
      </c>
      <c r="B23" s="364" t="s">
        <v>188</v>
      </c>
      <c r="C23" s="781">
        <v>79675558</v>
      </c>
      <c r="D23" s="772">
        <v>62300707</v>
      </c>
      <c r="E23" s="384">
        <f>'1. sz.mell. '!C26</f>
        <v>48857836</v>
      </c>
      <c r="F23" s="249">
        <f>67037993</f>
        <v>67037993</v>
      </c>
      <c r="G23" s="170"/>
      <c r="H23" s="170">
        <v>754943</v>
      </c>
    </row>
    <row r="24" spans="1:8" s="179" customFormat="1" ht="12.15" customHeight="1" thickBot="1" x14ac:dyDescent="0.3">
      <c r="A24" s="17" t="s">
        <v>18</v>
      </c>
      <c r="B24" s="362" t="s">
        <v>189</v>
      </c>
      <c r="C24" s="689">
        <f>SUM(C25:C29)</f>
        <v>995525530</v>
      </c>
      <c r="D24" s="773">
        <f>SUM(D25:D29)</f>
        <v>363677759</v>
      </c>
      <c r="E24" s="110">
        <f>'1. sz.mell. '!C27</f>
        <v>189350492</v>
      </c>
      <c r="F24" s="255">
        <f>+F25+F26+F27+F28+F29</f>
        <v>82409566</v>
      </c>
      <c r="G24" s="110">
        <f>+G25+G26+G27+G28+G29</f>
        <v>0</v>
      </c>
      <c r="H24" s="110">
        <f>+H25+H26+H27+H28+H29</f>
        <v>0</v>
      </c>
    </row>
    <row r="25" spans="1:8" s="179" customFormat="1" ht="12.15" customHeight="1" x14ac:dyDescent="0.25">
      <c r="A25" s="12" t="s">
        <v>74</v>
      </c>
      <c r="B25" s="266" t="s">
        <v>190</v>
      </c>
      <c r="C25" s="779">
        <v>8384460</v>
      </c>
      <c r="D25" s="770"/>
      <c r="E25" s="383">
        <f>'1. sz.mell. '!C28</f>
        <v>0</v>
      </c>
      <c r="F25" s="639"/>
      <c r="G25" s="467"/>
      <c r="H25" s="467"/>
    </row>
    <row r="26" spans="1:8" s="179" customFormat="1" ht="12.15" customHeight="1" x14ac:dyDescent="0.25">
      <c r="A26" s="11" t="s">
        <v>75</v>
      </c>
      <c r="B26" s="267" t="s">
        <v>191</v>
      </c>
      <c r="C26" s="782"/>
      <c r="D26" s="774"/>
      <c r="E26" s="386">
        <f>'1. sz.mell. '!C29</f>
        <v>0</v>
      </c>
      <c r="F26" s="246"/>
      <c r="G26" s="114"/>
      <c r="H26" s="114"/>
    </row>
    <row r="27" spans="1:8" s="179" customFormat="1" ht="12.15" customHeight="1" x14ac:dyDescent="0.25">
      <c r="A27" s="11" t="s">
        <v>76</v>
      </c>
      <c r="B27" s="267" t="s">
        <v>354</v>
      </c>
      <c r="C27" s="780"/>
      <c r="D27" s="771"/>
      <c r="E27" s="274">
        <f>'1. sz.mell. '!C30</f>
        <v>0</v>
      </c>
      <c r="F27" s="246"/>
      <c r="G27" s="114"/>
      <c r="H27" s="114"/>
    </row>
    <row r="28" spans="1:8" s="179" customFormat="1" ht="12.15" customHeight="1" x14ac:dyDescent="0.25">
      <c r="A28" s="11" t="s">
        <v>77</v>
      </c>
      <c r="B28" s="267" t="s">
        <v>355</v>
      </c>
      <c r="C28" s="780"/>
      <c r="D28" s="771"/>
      <c r="E28" s="274">
        <f>'1. sz.mell. '!C31</f>
        <v>0</v>
      </c>
      <c r="F28" s="246"/>
      <c r="G28" s="114"/>
      <c r="H28" s="114"/>
    </row>
    <row r="29" spans="1:8" s="179" customFormat="1" ht="12.15" customHeight="1" x14ac:dyDescent="0.25">
      <c r="A29" s="11" t="s">
        <v>122</v>
      </c>
      <c r="B29" s="267" t="s">
        <v>192</v>
      </c>
      <c r="C29" s="780">
        <v>987141070</v>
      </c>
      <c r="D29" s="771">
        <v>363677759</v>
      </c>
      <c r="E29" s="274">
        <f>'1. sz.mell. '!C32</f>
        <v>189350492</v>
      </c>
      <c r="F29" s="246">
        <f>5596040+25377271+3487179+47949076</f>
        <v>82409566</v>
      </c>
      <c r="G29" s="114"/>
      <c r="H29" s="114"/>
    </row>
    <row r="30" spans="1:8" s="179" customFormat="1" ht="12.15" customHeight="1" thickBot="1" x14ac:dyDescent="0.3">
      <c r="A30" s="13" t="s">
        <v>123</v>
      </c>
      <c r="B30" s="268" t="s">
        <v>193</v>
      </c>
      <c r="C30" s="781">
        <v>880796853</v>
      </c>
      <c r="D30" s="772">
        <v>323712208</v>
      </c>
      <c r="E30" s="384">
        <f>'1. sz.mell. '!C33</f>
        <v>189350492</v>
      </c>
      <c r="F30" s="249">
        <f>5596040+25377271+3487179+47949076</f>
        <v>82409566</v>
      </c>
      <c r="G30" s="170"/>
      <c r="H30" s="170"/>
    </row>
    <row r="31" spans="1:8" s="179" customFormat="1" ht="12.15" customHeight="1" thickBot="1" x14ac:dyDescent="0.3">
      <c r="A31" s="17" t="s">
        <v>124</v>
      </c>
      <c r="B31" s="362" t="s">
        <v>194</v>
      </c>
      <c r="C31" s="689">
        <f>C32+C35+C36+C37+C38</f>
        <v>474772264</v>
      </c>
      <c r="D31" s="773">
        <f>D32+D35+D36+D37+D38</f>
        <v>766202167</v>
      </c>
      <c r="E31" s="110">
        <f>'1. sz.mell. '!C34</f>
        <v>753676479</v>
      </c>
      <c r="F31" s="257">
        <f>+F32+F36+F37+F38</f>
        <v>481500000</v>
      </c>
      <c r="G31" s="115">
        <f>+G32+G36+G37+G38</f>
        <v>0</v>
      </c>
      <c r="H31" s="115">
        <f>+H32+H36+H37+H38</f>
        <v>0</v>
      </c>
    </row>
    <row r="32" spans="1:8" s="179" customFormat="1" ht="12.15" customHeight="1" x14ac:dyDescent="0.25">
      <c r="A32" s="12" t="s">
        <v>195</v>
      </c>
      <c r="B32" s="266" t="s">
        <v>553</v>
      </c>
      <c r="C32" s="688">
        <f>SUM(C33:C34)</f>
        <v>458365167</v>
      </c>
      <c r="D32" s="775">
        <f>SUM(D33:D34)</f>
        <v>745779458</v>
      </c>
      <c r="E32" s="383">
        <f>'1. sz.mell. '!C35</f>
        <v>729876479</v>
      </c>
      <c r="F32" s="269">
        <f>SUM(F33:F34)</f>
        <v>430000000</v>
      </c>
      <c r="G32" s="269">
        <f>SUM(G33:G34)</f>
        <v>0</v>
      </c>
      <c r="H32" s="269">
        <f>SUM(H33:H34)</f>
        <v>0</v>
      </c>
    </row>
    <row r="33" spans="1:8" s="179" customFormat="1" ht="12.15" customHeight="1" x14ac:dyDescent="0.25">
      <c r="A33" s="11" t="s">
        <v>196</v>
      </c>
      <c r="B33" s="267" t="s">
        <v>201</v>
      </c>
      <c r="C33" s="780">
        <v>89262173</v>
      </c>
      <c r="D33" s="771">
        <v>102328963</v>
      </c>
      <c r="E33" s="274">
        <f>'1. sz.mell. '!C36</f>
        <v>95000000</v>
      </c>
      <c r="F33" s="99">
        <f>80000000+9000000</f>
        <v>89000000</v>
      </c>
      <c r="G33" s="111"/>
      <c r="H33" s="111"/>
    </row>
    <row r="34" spans="1:8" s="179" customFormat="1" ht="12.15" customHeight="1" x14ac:dyDescent="0.25">
      <c r="A34" s="11" t="s">
        <v>197</v>
      </c>
      <c r="B34" s="501" t="s">
        <v>552</v>
      </c>
      <c r="C34" s="780">
        <v>369102994</v>
      </c>
      <c r="D34" s="771">
        <v>643450495</v>
      </c>
      <c r="E34" s="273">
        <f>'1. sz.mell. '!C37</f>
        <v>634876479</v>
      </c>
      <c r="F34" s="99">
        <f>341000000</f>
        <v>341000000</v>
      </c>
      <c r="G34" s="111"/>
      <c r="H34" s="111"/>
    </row>
    <row r="35" spans="1:8" s="179" customFormat="1" ht="12.15" customHeight="1" x14ac:dyDescent="0.25">
      <c r="A35" s="11" t="s">
        <v>198</v>
      </c>
      <c r="B35" s="267" t="s">
        <v>469</v>
      </c>
      <c r="C35" s="780">
        <v>813471</v>
      </c>
      <c r="D35" s="771">
        <v>0</v>
      </c>
      <c r="E35" s="273">
        <f>'1. sz.mell. '!C38</f>
        <v>0</v>
      </c>
      <c r="F35" s="246"/>
      <c r="G35" s="114"/>
      <c r="H35" s="114"/>
    </row>
    <row r="36" spans="1:8" s="179" customFormat="1" ht="12.15" customHeight="1" x14ac:dyDescent="0.25">
      <c r="A36" s="11" t="s">
        <v>470</v>
      </c>
      <c r="B36" s="267" t="s">
        <v>202</v>
      </c>
      <c r="C36" s="780">
        <v>0</v>
      </c>
      <c r="D36" s="771">
        <v>0</v>
      </c>
      <c r="E36" s="273">
        <v>0</v>
      </c>
      <c r="F36" s="99">
        <f>35000000</f>
        <v>35000000</v>
      </c>
      <c r="G36" s="111"/>
      <c r="H36" s="111"/>
    </row>
    <row r="37" spans="1:8" s="179" customFormat="1" ht="12.15" customHeight="1" x14ac:dyDescent="0.25">
      <c r="A37" s="11" t="s">
        <v>200</v>
      </c>
      <c r="B37" s="267" t="s">
        <v>203</v>
      </c>
      <c r="C37" s="780">
        <v>592200</v>
      </c>
      <c r="D37" s="771">
        <v>993780</v>
      </c>
      <c r="E37" s="273">
        <f>'1. sz.mell. '!C39</f>
        <v>1000000</v>
      </c>
      <c r="F37" s="99"/>
      <c r="G37" s="111"/>
      <c r="H37" s="111"/>
    </row>
    <row r="38" spans="1:8" s="179" customFormat="1" ht="12.15" customHeight="1" thickBot="1" x14ac:dyDescent="0.3">
      <c r="A38" s="13" t="s">
        <v>471</v>
      </c>
      <c r="B38" s="268" t="s">
        <v>204</v>
      </c>
      <c r="C38" s="781">
        <v>15001426</v>
      </c>
      <c r="D38" s="772">
        <v>19428929</v>
      </c>
      <c r="E38" s="384">
        <f>'1. sz.mell. '!C40</f>
        <v>22800000</v>
      </c>
      <c r="F38" s="249">
        <f>6000000+4000000+2500000+500000+3500000</f>
        <v>16500000</v>
      </c>
      <c r="G38" s="170"/>
      <c r="H38" s="170"/>
    </row>
    <row r="39" spans="1:8" s="179" customFormat="1" ht="12.15" customHeight="1" thickBot="1" x14ac:dyDescent="0.3">
      <c r="A39" s="17" t="s">
        <v>20</v>
      </c>
      <c r="B39" s="362" t="s">
        <v>387</v>
      </c>
      <c r="C39" s="689">
        <f>SUM(C40:C50)</f>
        <v>338206507</v>
      </c>
      <c r="D39" s="773">
        <f>SUM(D40:D50)</f>
        <v>486581758</v>
      </c>
      <c r="E39" s="110">
        <f>'1. sz.mell. '!C41</f>
        <v>495779131</v>
      </c>
      <c r="F39" s="255">
        <f>SUM(F40:F50)</f>
        <v>64295778</v>
      </c>
      <c r="G39" s="110">
        <f>SUM(G40:G50)</f>
        <v>8150828</v>
      </c>
      <c r="H39" s="110">
        <f>SUM(H40:H50)</f>
        <v>266151972</v>
      </c>
    </row>
    <row r="40" spans="1:8" s="179" customFormat="1" ht="12.15" customHeight="1" x14ac:dyDescent="0.25">
      <c r="A40" s="12" t="s">
        <v>78</v>
      </c>
      <c r="B40" s="266" t="s">
        <v>207</v>
      </c>
      <c r="C40" s="779">
        <v>1089764</v>
      </c>
      <c r="D40" s="770">
        <v>1381701</v>
      </c>
      <c r="E40" s="383">
        <f>'1. sz.mell. '!C42</f>
        <v>0</v>
      </c>
      <c r="F40" s="639">
        <f>7385026+10000+10375680</f>
        <v>17770706</v>
      </c>
      <c r="G40" s="214"/>
      <c r="H40" s="214">
        <v>20000</v>
      </c>
    </row>
    <row r="41" spans="1:8" s="179" customFormat="1" ht="12.15" customHeight="1" x14ac:dyDescent="0.25">
      <c r="A41" s="11" t="s">
        <v>79</v>
      </c>
      <c r="B41" s="267" t="s">
        <v>208</v>
      </c>
      <c r="C41" s="780">
        <v>44357165</v>
      </c>
      <c r="D41" s="771">
        <v>53653359</v>
      </c>
      <c r="E41" s="274">
        <f>'1. sz.mell. '!C43</f>
        <v>69228689</v>
      </c>
      <c r="F41" s="246">
        <f>15901900+787402+500000</f>
        <v>17189302</v>
      </c>
      <c r="G41" s="114">
        <f>4000000+1241400+372638</f>
        <v>5614038</v>
      </c>
      <c r="H41" s="214">
        <f>32107480+8820000+616000+13688512</f>
        <v>55231992</v>
      </c>
    </row>
    <row r="42" spans="1:8" s="179" customFormat="1" ht="12.15" customHeight="1" x14ac:dyDescent="0.25">
      <c r="A42" s="11" t="s">
        <v>80</v>
      </c>
      <c r="B42" s="267" t="s">
        <v>209</v>
      </c>
      <c r="C42" s="780">
        <v>36080974</v>
      </c>
      <c r="D42" s="771">
        <v>59476538</v>
      </c>
      <c r="E42" s="274">
        <f>'1. sz.mell. '!C44</f>
        <v>50181920</v>
      </c>
      <c r="F42" s="246">
        <f>20000+6000000+700000+1000000+1109692</f>
        <v>8829692</v>
      </c>
      <c r="G42" s="114">
        <f>300000</f>
        <v>300000</v>
      </c>
      <c r="H42" s="214">
        <f>1586000+50000+4200000+12700000</f>
        <v>18536000</v>
      </c>
    </row>
    <row r="43" spans="1:8" s="179" customFormat="1" ht="12.15" customHeight="1" x14ac:dyDescent="0.25">
      <c r="A43" s="11" t="s">
        <v>126</v>
      </c>
      <c r="B43" s="267" t="s">
        <v>210</v>
      </c>
      <c r="C43" s="780">
        <v>8517471</v>
      </c>
      <c r="D43" s="771">
        <v>3176286</v>
      </c>
      <c r="E43" s="274">
        <f>'1. sz.mell. '!C45</f>
        <v>3395000</v>
      </c>
      <c r="F43" s="246">
        <f>440000+300000</f>
        <v>740000</v>
      </c>
      <c r="G43" s="114"/>
      <c r="H43" s="214"/>
    </row>
    <row r="44" spans="1:8" s="179" customFormat="1" ht="12.15" customHeight="1" x14ac:dyDescent="0.25">
      <c r="A44" s="11" t="s">
        <v>127</v>
      </c>
      <c r="B44" s="267" t="s">
        <v>211</v>
      </c>
      <c r="C44" s="780">
        <v>194620247</v>
      </c>
      <c r="D44" s="771">
        <v>249905993</v>
      </c>
      <c r="E44" s="274">
        <f>'1. sz.mell. '!C46</f>
        <v>286716590</v>
      </c>
      <c r="F44" s="246"/>
      <c r="G44" s="114"/>
      <c r="H44" s="214">
        <f>17535396+708995+862330+152500000</f>
        <v>171606721</v>
      </c>
    </row>
    <row r="45" spans="1:8" s="179" customFormat="1" ht="12.15" customHeight="1" x14ac:dyDescent="0.25">
      <c r="A45" s="11" t="s">
        <v>128</v>
      </c>
      <c r="B45" s="267" t="s">
        <v>212</v>
      </c>
      <c r="C45" s="780">
        <v>21646908</v>
      </c>
      <c r="D45" s="771">
        <v>32662213</v>
      </c>
      <c r="E45" s="274">
        <f>'1. sz.mell. '!C47</f>
        <v>35274351</v>
      </c>
      <c r="F45" s="246">
        <f>5400+1993957+12052638+212598+189000+2801434+333450+135000</f>
        <v>17723477</v>
      </c>
      <c r="G45" s="114">
        <f>1161000+335178+100612</f>
        <v>1596790</v>
      </c>
      <c r="H45" s="214">
        <f>4914377+191429+869400+1533149+4814904</f>
        <v>12323259</v>
      </c>
    </row>
    <row r="46" spans="1:8" s="179" customFormat="1" ht="12.15" customHeight="1" x14ac:dyDescent="0.25">
      <c r="A46" s="11" t="s">
        <v>129</v>
      </c>
      <c r="B46" s="267" t="s">
        <v>213</v>
      </c>
      <c r="C46" s="780">
        <v>21258000</v>
      </c>
      <c r="D46" s="771">
        <v>12865000</v>
      </c>
      <c r="E46" s="274">
        <f>'1. sz.mell. '!C48</f>
        <v>50270581</v>
      </c>
      <c r="F46" s="246"/>
      <c r="G46" s="114"/>
      <c r="H46" s="214">
        <f>7614000+650000+169000</f>
        <v>8433000</v>
      </c>
    </row>
    <row r="47" spans="1:8" s="179" customFormat="1" ht="12.15" customHeight="1" x14ac:dyDescent="0.25">
      <c r="A47" s="11" t="s">
        <v>130</v>
      </c>
      <c r="B47" s="267" t="s">
        <v>481</v>
      </c>
      <c r="C47" s="780">
        <v>19586</v>
      </c>
      <c r="D47" s="771">
        <v>698</v>
      </c>
      <c r="E47" s="274">
        <f>'1. sz.mell. '!C49</f>
        <v>0</v>
      </c>
      <c r="F47" s="246"/>
      <c r="G47" s="114"/>
      <c r="H47" s="214"/>
    </row>
    <row r="48" spans="1:8" s="179" customFormat="1" ht="12.15" customHeight="1" x14ac:dyDescent="0.25">
      <c r="A48" s="11" t="s">
        <v>205</v>
      </c>
      <c r="B48" s="267" t="s">
        <v>215</v>
      </c>
      <c r="C48" s="780"/>
      <c r="D48" s="771"/>
      <c r="E48" s="274">
        <f>'1. sz.mell. '!C50</f>
        <v>0</v>
      </c>
      <c r="F48" s="246"/>
      <c r="G48" s="114"/>
      <c r="H48" s="214"/>
    </row>
    <row r="49" spans="1:8" s="179" customFormat="1" ht="12.15" customHeight="1" x14ac:dyDescent="0.25">
      <c r="A49" s="13" t="s">
        <v>206</v>
      </c>
      <c r="B49" s="268" t="s">
        <v>388</v>
      </c>
      <c r="C49" s="780">
        <v>2459873</v>
      </c>
      <c r="D49" s="771">
        <v>1665346</v>
      </c>
      <c r="E49" s="274">
        <f>'1. sz.mell. '!C51</f>
        <v>0</v>
      </c>
      <c r="F49" s="249">
        <f>500000</f>
        <v>500000</v>
      </c>
      <c r="G49" s="170"/>
      <c r="H49" s="214"/>
    </row>
    <row r="50" spans="1:8" s="179" customFormat="1" ht="12.15" customHeight="1" thickBot="1" x14ac:dyDescent="0.3">
      <c r="A50" s="13" t="s">
        <v>389</v>
      </c>
      <c r="B50" s="364" t="s">
        <v>216</v>
      </c>
      <c r="C50" s="781">
        <v>8156519</v>
      </c>
      <c r="D50" s="772">
        <v>71794624</v>
      </c>
      <c r="E50" s="384">
        <f>'1. sz.mell. '!C52</f>
        <v>712000</v>
      </c>
      <c r="F50" s="249">
        <f>507601+335000+700000</f>
        <v>1542601</v>
      </c>
      <c r="G50" s="170">
        <f>640000</f>
        <v>640000</v>
      </c>
      <c r="H50" s="214">
        <v>1000</v>
      </c>
    </row>
    <row r="51" spans="1:8" s="179" customFormat="1" ht="12.15" customHeight="1" thickBot="1" x14ac:dyDescent="0.3">
      <c r="A51" s="17" t="s">
        <v>21</v>
      </c>
      <c r="B51" s="362" t="s">
        <v>217</v>
      </c>
      <c r="C51" s="689">
        <f>SUM(C52:C56)</f>
        <v>16538892</v>
      </c>
      <c r="D51" s="773">
        <f>SUM(D52:D56)</f>
        <v>20760037</v>
      </c>
      <c r="E51" s="110">
        <f>'1. sz.mell. '!C53</f>
        <v>20000000</v>
      </c>
      <c r="F51" s="255">
        <f>SUM(F52:F56)</f>
        <v>21787500</v>
      </c>
      <c r="G51" s="110">
        <f>SUM(G52:G56)</f>
        <v>300000</v>
      </c>
      <c r="H51" s="110">
        <f>SUM(H52:H56)</f>
        <v>0</v>
      </c>
    </row>
    <row r="52" spans="1:8" s="179" customFormat="1" ht="12.15" customHeight="1" x14ac:dyDescent="0.25">
      <c r="A52" s="12" t="s">
        <v>81</v>
      </c>
      <c r="B52" s="266" t="s">
        <v>221</v>
      </c>
      <c r="C52" s="783"/>
      <c r="D52" s="776"/>
      <c r="E52" s="385">
        <f>'1. sz.mell. '!C54</f>
        <v>0</v>
      </c>
      <c r="F52" s="639"/>
      <c r="G52" s="214"/>
      <c r="H52" s="214"/>
    </row>
    <row r="53" spans="1:8" s="179" customFormat="1" ht="12.15" customHeight="1" x14ac:dyDescent="0.25">
      <c r="A53" s="11" t="s">
        <v>82</v>
      </c>
      <c r="B53" s="267" t="s">
        <v>222</v>
      </c>
      <c r="C53" s="780">
        <v>16527081</v>
      </c>
      <c r="D53" s="771">
        <v>20684920</v>
      </c>
      <c r="E53" s="274">
        <f>'1. sz.mell. '!C55</f>
        <v>20000000</v>
      </c>
      <c r="F53" s="246">
        <f>21787500</f>
        <v>21787500</v>
      </c>
      <c r="G53" s="114"/>
      <c r="H53" s="114"/>
    </row>
    <row r="54" spans="1:8" s="179" customFormat="1" ht="12.15" customHeight="1" x14ac:dyDescent="0.25">
      <c r="A54" s="11" t="s">
        <v>218</v>
      </c>
      <c r="B54" s="267" t="s">
        <v>223</v>
      </c>
      <c r="C54" s="780">
        <v>11811</v>
      </c>
      <c r="D54" s="771">
        <v>75117</v>
      </c>
      <c r="E54" s="274">
        <f>'1. sz.mell. '!C56</f>
        <v>0</v>
      </c>
      <c r="F54" s="246"/>
      <c r="G54" s="114">
        <f>300000</f>
        <v>300000</v>
      </c>
      <c r="H54" s="114"/>
    </row>
    <row r="55" spans="1:8" s="179" customFormat="1" ht="12.15" customHeight="1" x14ac:dyDescent="0.25">
      <c r="A55" s="11" t="s">
        <v>219</v>
      </c>
      <c r="B55" s="267" t="s">
        <v>224</v>
      </c>
      <c r="C55" s="780"/>
      <c r="D55" s="771"/>
      <c r="E55" s="274">
        <f>'1. sz.mell. '!C57</f>
        <v>0</v>
      </c>
      <c r="F55" s="246"/>
      <c r="G55" s="114"/>
      <c r="H55" s="114"/>
    </row>
    <row r="56" spans="1:8" s="179" customFormat="1" ht="12.15" customHeight="1" thickBot="1" x14ac:dyDescent="0.3">
      <c r="A56" s="13" t="s">
        <v>220</v>
      </c>
      <c r="B56" s="364" t="s">
        <v>225</v>
      </c>
      <c r="C56" s="781">
        <v>0</v>
      </c>
      <c r="D56" s="772">
        <v>0</v>
      </c>
      <c r="E56" s="387">
        <f>'1. sz.mell. '!C58</f>
        <v>0</v>
      </c>
      <c r="F56" s="249"/>
      <c r="G56" s="170"/>
      <c r="H56" s="170"/>
    </row>
    <row r="57" spans="1:8" s="179" customFormat="1" ht="12.15" customHeight="1" thickBot="1" x14ac:dyDescent="0.3">
      <c r="A57" s="17" t="s">
        <v>131</v>
      </c>
      <c r="B57" s="362" t="s">
        <v>226</v>
      </c>
      <c r="C57" s="689">
        <f>SUM(C58:C60)</f>
        <v>4094166</v>
      </c>
      <c r="D57" s="773">
        <f>SUM(D58:D60)</f>
        <v>2218904</v>
      </c>
      <c r="E57" s="265">
        <f>'1. sz.mell. '!C59</f>
        <v>1345000</v>
      </c>
      <c r="F57" s="255">
        <f>SUM(F58:F60)</f>
        <v>1430000</v>
      </c>
      <c r="G57" s="110">
        <f>SUM(G58:G60)</f>
        <v>0</v>
      </c>
      <c r="H57" s="110">
        <f>SUM(H58:H60)</f>
        <v>0</v>
      </c>
    </row>
    <row r="58" spans="1:8" s="179" customFormat="1" ht="12.15" customHeight="1" x14ac:dyDescent="0.25">
      <c r="A58" s="12" t="s">
        <v>83</v>
      </c>
      <c r="B58" s="266" t="s">
        <v>227</v>
      </c>
      <c r="C58" s="1058">
        <v>881275</v>
      </c>
      <c r="D58" s="958">
        <v>60000</v>
      </c>
      <c r="E58" s="388">
        <f>'1. sz.mell. '!C60</f>
        <v>50000</v>
      </c>
      <c r="F58" s="256"/>
      <c r="G58" s="112"/>
      <c r="H58" s="112"/>
    </row>
    <row r="59" spans="1:8" s="179" customFormat="1" ht="12.15" customHeight="1" x14ac:dyDescent="0.25">
      <c r="A59" s="11" t="s">
        <v>84</v>
      </c>
      <c r="B59" s="267" t="s">
        <v>356</v>
      </c>
      <c r="C59" s="780">
        <v>542808</v>
      </c>
      <c r="D59" s="771">
        <v>269144</v>
      </c>
      <c r="E59" s="274">
        <f>'1. sz.mell. '!C61</f>
        <v>200000</v>
      </c>
      <c r="F59" s="246">
        <f>480000</f>
        <v>480000</v>
      </c>
      <c r="G59" s="114"/>
      <c r="H59" s="114"/>
    </row>
    <row r="60" spans="1:8" s="179" customFormat="1" ht="12.15" customHeight="1" x14ac:dyDescent="0.25">
      <c r="A60" s="11" t="s">
        <v>230</v>
      </c>
      <c r="B60" s="267" t="s">
        <v>228</v>
      </c>
      <c r="C60" s="780">
        <v>2670083</v>
      </c>
      <c r="D60" s="771">
        <v>1889760</v>
      </c>
      <c r="E60" s="274">
        <f>'1. sz.mell. '!C62</f>
        <v>1095000</v>
      </c>
      <c r="F60" s="246">
        <f>950000</f>
        <v>950000</v>
      </c>
      <c r="G60" s="114"/>
      <c r="H60" s="114"/>
    </row>
    <row r="61" spans="1:8" s="179" customFormat="1" ht="12.15" customHeight="1" thickBot="1" x14ac:dyDescent="0.3">
      <c r="A61" s="13" t="s">
        <v>231</v>
      </c>
      <c r="B61" s="364" t="s">
        <v>229</v>
      </c>
      <c r="C61" s="781"/>
      <c r="D61" s="772"/>
      <c r="E61" s="384">
        <f>'1. sz.mell. '!C63</f>
        <v>0</v>
      </c>
      <c r="F61" s="100"/>
      <c r="G61" s="113"/>
      <c r="H61" s="113"/>
    </row>
    <row r="62" spans="1:8" s="179" customFormat="1" ht="12.15" customHeight="1" thickBot="1" x14ac:dyDescent="0.3">
      <c r="A62" s="17" t="s">
        <v>23</v>
      </c>
      <c r="B62" s="365" t="s">
        <v>232</v>
      </c>
      <c r="C62" s="689">
        <f>SUM(C63:C65)</f>
        <v>12300788</v>
      </c>
      <c r="D62" s="773">
        <f>SUM(D63:D65)</f>
        <v>3892000</v>
      </c>
      <c r="E62" s="110">
        <f>'1. sz.mell. '!C64</f>
        <v>0</v>
      </c>
      <c r="F62" s="255">
        <f>SUM(F63:F65)</f>
        <v>0</v>
      </c>
      <c r="G62" s="110">
        <f>SUM(G63:G65)</f>
        <v>0</v>
      </c>
      <c r="H62" s="110">
        <f>SUM(H63:H65)</f>
        <v>0</v>
      </c>
    </row>
    <row r="63" spans="1:8" s="179" customFormat="1" ht="12.15" customHeight="1" x14ac:dyDescent="0.25">
      <c r="A63" s="12" t="s">
        <v>132</v>
      </c>
      <c r="B63" s="266" t="s">
        <v>234</v>
      </c>
      <c r="C63" s="783"/>
      <c r="D63" s="776"/>
      <c r="E63" s="385">
        <f>'1. sz.mell. '!C65</f>
        <v>0</v>
      </c>
      <c r="F63" s="246"/>
      <c r="G63" s="114"/>
      <c r="H63" s="114"/>
    </row>
    <row r="64" spans="1:8" s="179" customFormat="1" ht="12.15" customHeight="1" x14ac:dyDescent="0.25">
      <c r="A64" s="11" t="s">
        <v>133</v>
      </c>
      <c r="B64" s="267" t="s">
        <v>357</v>
      </c>
      <c r="C64" s="782"/>
      <c r="D64" s="774"/>
      <c r="E64" s="386">
        <f>'1. sz.mell. '!C66</f>
        <v>0</v>
      </c>
      <c r="F64" s="246"/>
      <c r="G64" s="114"/>
      <c r="H64" s="114"/>
    </row>
    <row r="65" spans="1:8" s="179" customFormat="1" ht="12.15" customHeight="1" x14ac:dyDescent="0.25">
      <c r="A65" s="11" t="s">
        <v>158</v>
      </c>
      <c r="B65" s="267" t="s">
        <v>235</v>
      </c>
      <c r="C65" s="780">
        <v>12300788</v>
      </c>
      <c r="D65" s="771">
        <v>3892000</v>
      </c>
      <c r="E65" s="386">
        <f>'1. sz.mell. '!C67</f>
        <v>0</v>
      </c>
      <c r="F65" s="246"/>
      <c r="G65" s="114"/>
      <c r="H65" s="114"/>
    </row>
    <row r="66" spans="1:8" s="179" customFormat="1" ht="12.15" customHeight="1" thickBot="1" x14ac:dyDescent="0.3">
      <c r="A66" s="13" t="s">
        <v>233</v>
      </c>
      <c r="B66" s="364" t="s">
        <v>236</v>
      </c>
      <c r="C66" s="781">
        <v>0</v>
      </c>
      <c r="D66" s="772">
        <v>0</v>
      </c>
      <c r="E66" s="387">
        <f>'1. sz.mell. '!C68</f>
        <v>0</v>
      </c>
      <c r="F66" s="246"/>
      <c r="G66" s="114"/>
      <c r="H66" s="114"/>
    </row>
    <row r="67" spans="1:8" s="179" customFormat="1" ht="12.15" customHeight="1" thickBot="1" x14ac:dyDescent="0.3">
      <c r="A67" s="233" t="s">
        <v>390</v>
      </c>
      <c r="B67" s="362" t="s">
        <v>237</v>
      </c>
      <c r="C67" s="497">
        <f>C8+C17+C24+C31+C39+C51+C57+C62</f>
        <v>4098708442</v>
      </c>
      <c r="D67" s="495">
        <f>D8+D17+D24+D31+D39+D51+D57+D62</f>
        <v>4209637474</v>
      </c>
      <c r="E67" s="110">
        <f>'1. sz.mell. '!C69</f>
        <v>4386353980</v>
      </c>
      <c r="F67" s="257">
        <f>+F8+F17+F24+F31+F39+F51+F57+F62</f>
        <v>2315958967</v>
      </c>
      <c r="G67" s="115">
        <f>+G8+G17+G24+G31+G39+G51+G57+G62</f>
        <v>8450828</v>
      </c>
      <c r="H67" s="115">
        <f>+H8+H17+H24+H31+H39+H51+H57+H62</f>
        <v>288906915</v>
      </c>
    </row>
    <row r="68" spans="1:8" s="179" customFormat="1" ht="12.15" customHeight="1" thickBot="1" x14ac:dyDescent="0.3">
      <c r="A68" s="234" t="s">
        <v>238</v>
      </c>
      <c r="B68" s="365" t="s">
        <v>482</v>
      </c>
      <c r="C68" s="497">
        <f>SUM(C69:C71)</f>
        <v>1041364813</v>
      </c>
      <c r="D68" s="495">
        <f>SUM(D69:D71)</f>
        <v>992485956</v>
      </c>
      <c r="E68" s="110">
        <f>'1. sz.mell. '!C70</f>
        <v>1100000000</v>
      </c>
      <c r="F68" s="255">
        <f>SUM(F69:F71)</f>
        <v>169269106</v>
      </c>
      <c r="G68" s="110">
        <f>SUM(G69:G71)</f>
        <v>0</v>
      </c>
      <c r="H68" s="110">
        <f>SUM(H69:H71)</f>
        <v>0</v>
      </c>
    </row>
    <row r="69" spans="1:8" s="179" customFormat="1" ht="12.15" customHeight="1" x14ac:dyDescent="0.25">
      <c r="A69" s="12" t="s">
        <v>270</v>
      </c>
      <c r="B69" s="266" t="s">
        <v>240</v>
      </c>
      <c r="C69" s="779">
        <v>0</v>
      </c>
      <c r="D69" s="770">
        <v>117356494</v>
      </c>
      <c r="E69" s="383">
        <f>'1. sz.mell. '!C71</f>
        <v>0</v>
      </c>
      <c r="F69" s="246">
        <f>69269106</f>
        <v>69269106</v>
      </c>
      <c r="G69" s="114"/>
      <c r="H69" s="114"/>
    </row>
    <row r="70" spans="1:8" s="179" customFormat="1" ht="12.15" customHeight="1" x14ac:dyDescent="0.25">
      <c r="A70" s="11" t="s">
        <v>279</v>
      </c>
      <c r="B70" s="267" t="s">
        <v>241</v>
      </c>
      <c r="C70" s="780">
        <v>1041364813</v>
      </c>
      <c r="D70" s="771">
        <v>875129462</v>
      </c>
      <c r="E70" s="274">
        <f>'1. sz.mell. '!C72</f>
        <v>1100000000</v>
      </c>
      <c r="F70" s="246">
        <v>100000000</v>
      </c>
      <c r="G70" s="114"/>
      <c r="H70" s="114"/>
    </row>
    <row r="71" spans="1:8" s="179" customFormat="1" ht="12.15" customHeight="1" thickBot="1" x14ac:dyDescent="0.3">
      <c r="A71" s="13" t="s">
        <v>280</v>
      </c>
      <c r="B71" s="366" t="s">
        <v>391</v>
      </c>
      <c r="C71" s="784"/>
      <c r="D71" s="777"/>
      <c r="E71" s="387">
        <f>'1. sz.mell. '!C73</f>
        <v>0</v>
      </c>
      <c r="F71" s="246"/>
      <c r="G71" s="114"/>
      <c r="H71" s="114"/>
    </row>
    <row r="72" spans="1:8" s="179" customFormat="1" ht="12.15" customHeight="1" thickBot="1" x14ac:dyDescent="0.3">
      <c r="A72" s="234" t="s">
        <v>243</v>
      </c>
      <c r="B72" s="365" t="s">
        <v>244</v>
      </c>
      <c r="C72" s="500">
        <f>SUM(C73:C76)</f>
        <v>0</v>
      </c>
      <c r="D72" s="778">
        <f>SUM(D73:D76)</f>
        <v>0</v>
      </c>
      <c r="E72" s="110">
        <f>'1. sz.mell. '!C74</f>
        <v>0</v>
      </c>
      <c r="F72" s="255">
        <f>SUM(F73:F76)</f>
        <v>0</v>
      </c>
      <c r="G72" s="110">
        <f>SUM(G73:G76)</f>
        <v>0</v>
      </c>
      <c r="H72" s="110">
        <f>SUM(H73:H76)</f>
        <v>0</v>
      </c>
    </row>
    <row r="73" spans="1:8" s="179" customFormat="1" ht="12.15" customHeight="1" x14ac:dyDescent="0.25">
      <c r="A73" s="12" t="s">
        <v>112</v>
      </c>
      <c r="B73" s="266" t="s">
        <v>245</v>
      </c>
      <c r="C73" s="783"/>
      <c r="D73" s="776"/>
      <c r="E73" s="385">
        <f>'1. sz.mell. '!C75</f>
        <v>0</v>
      </c>
      <c r="F73" s="246"/>
      <c r="G73" s="114"/>
      <c r="H73" s="114"/>
    </row>
    <row r="74" spans="1:8" s="179" customFormat="1" ht="17.399999999999999" customHeight="1" x14ac:dyDescent="0.25">
      <c r="A74" s="11" t="s">
        <v>113</v>
      </c>
      <c r="B74" s="267" t="s">
        <v>246</v>
      </c>
      <c r="C74" s="782"/>
      <c r="D74" s="774"/>
      <c r="E74" s="386">
        <f>'1. sz.mell. '!C76</f>
        <v>0</v>
      </c>
      <c r="F74" s="246"/>
      <c r="G74" s="114"/>
      <c r="H74" s="114"/>
    </row>
    <row r="75" spans="1:8" s="179" customFormat="1" ht="12.15" customHeight="1" x14ac:dyDescent="0.25">
      <c r="A75" s="11" t="s">
        <v>271</v>
      </c>
      <c r="B75" s="267" t="s">
        <v>247</v>
      </c>
      <c r="C75" s="782"/>
      <c r="D75" s="774"/>
      <c r="E75" s="386">
        <f>'1. sz.mell. '!C77</f>
        <v>0</v>
      </c>
      <c r="F75" s="246"/>
      <c r="G75" s="114"/>
      <c r="H75" s="114"/>
    </row>
    <row r="76" spans="1:8" s="179" customFormat="1" ht="12.15" customHeight="1" thickBot="1" x14ac:dyDescent="0.3">
      <c r="A76" s="13" t="s">
        <v>272</v>
      </c>
      <c r="B76" s="364" t="s">
        <v>248</v>
      </c>
      <c r="C76" s="784"/>
      <c r="D76" s="777"/>
      <c r="E76" s="387">
        <f>'1. sz.mell. '!C78</f>
        <v>0</v>
      </c>
      <c r="F76" s="246"/>
      <c r="G76" s="114"/>
      <c r="H76" s="114"/>
    </row>
    <row r="77" spans="1:8" s="179" customFormat="1" ht="12.15" customHeight="1" thickBot="1" x14ac:dyDescent="0.3">
      <c r="A77" s="234" t="s">
        <v>249</v>
      </c>
      <c r="B77" s="365" t="s">
        <v>250</v>
      </c>
      <c r="C77" s="497">
        <f>SUM(C78:C79)</f>
        <v>2438161695</v>
      </c>
      <c r="D77" s="495">
        <f>SUM(D78:D79)</f>
        <v>2241380024</v>
      </c>
      <c r="E77" s="110">
        <f>'1. sz.mell. '!C79</f>
        <v>1536973511</v>
      </c>
      <c r="F77" s="255">
        <f>SUM(F78:F79)</f>
        <v>346583469</v>
      </c>
      <c r="G77" s="110">
        <f>SUM(G78:G79)</f>
        <v>829764</v>
      </c>
      <c r="H77" s="110">
        <f>SUM(H78:H79)</f>
        <v>17254367</v>
      </c>
    </row>
    <row r="78" spans="1:8" s="179" customFormat="1" ht="12.15" customHeight="1" x14ac:dyDescent="0.25">
      <c r="A78" s="12" t="s">
        <v>273</v>
      </c>
      <c r="B78" s="266" t="s">
        <v>251</v>
      </c>
      <c r="C78" s="779">
        <v>2438161695</v>
      </c>
      <c r="D78" s="770">
        <v>2241380024</v>
      </c>
      <c r="E78" s="383">
        <f>'1. sz.mell. '!C80</f>
        <v>1536973511</v>
      </c>
      <c r="F78" s="246">
        <f>346583469</f>
        <v>346583469</v>
      </c>
      <c r="G78" s="114">
        <f>829764</f>
        <v>829764</v>
      </c>
      <c r="H78" s="114">
        <f>1550858+372804+435258+1054835+13840612</f>
        <v>17254367</v>
      </c>
    </row>
    <row r="79" spans="1:8" s="179" customFormat="1" ht="12.15" customHeight="1" thickBot="1" x14ac:dyDescent="0.3">
      <c r="A79" s="13" t="s">
        <v>274</v>
      </c>
      <c r="B79" s="364" t="s">
        <v>252</v>
      </c>
      <c r="C79" s="784"/>
      <c r="D79" s="777"/>
      <c r="E79" s="387">
        <f>'1. sz.mell. '!C81</f>
        <v>0</v>
      </c>
      <c r="F79" s="246"/>
      <c r="G79" s="114"/>
      <c r="H79" s="114"/>
    </row>
    <row r="80" spans="1:8" s="179" customFormat="1" ht="12.15" customHeight="1" thickBot="1" x14ac:dyDescent="0.3">
      <c r="A80" s="234" t="s">
        <v>253</v>
      </c>
      <c r="B80" s="365" t="s">
        <v>254</v>
      </c>
      <c r="C80" s="498">
        <f>SUM(C81:C83)</f>
        <v>61842606</v>
      </c>
      <c r="D80" s="496">
        <f>SUM(D81:D83)</f>
        <v>67733205</v>
      </c>
      <c r="E80" s="110">
        <f>'1. sz.mell. '!C82</f>
        <v>67733205</v>
      </c>
      <c r="F80" s="255">
        <f>SUM(F81:F83)</f>
        <v>0</v>
      </c>
      <c r="G80" s="110">
        <f>SUM(G81:G83)</f>
        <v>0</v>
      </c>
      <c r="H80" s="110">
        <f>SUM(H81:H83)</f>
        <v>0</v>
      </c>
    </row>
    <row r="81" spans="1:8" s="179" customFormat="1" ht="12.15" customHeight="1" x14ac:dyDescent="0.25">
      <c r="A81" s="12" t="s">
        <v>275</v>
      </c>
      <c r="B81" s="266" t="s">
        <v>255</v>
      </c>
      <c r="C81" s="779">
        <v>61842606</v>
      </c>
      <c r="D81" s="770">
        <v>67733205</v>
      </c>
      <c r="E81" s="385">
        <f>'1. sz.mell. '!C83</f>
        <v>67733205</v>
      </c>
      <c r="F81" s="246"/>
      <c r="G81" s="114"/>
      <c r="H81" s="114"/>
    </row>
    <row r="82" spans="1:8" s="179" customFormat="1" ht="12.15" customHeight="1" x14ac:dyDescent="0.25">
      <c r="A82" s="11" t="s">
        <v>276</v>
      </c>
      <c r="B82" s="267" t="s">
        <v>256</v>
      </c>
      <c r="C82" s="782"/>
      <c r="D82" s="774"/>
      <c r="E82" s="386">
        <f>'1. sz.mell. '!C84</f>
        <v>0</v>
      </c>
      <c r="F82" s="246"/>
      <c r="G82" s="114"/>
      <c r="H82" s="114"/>
    </row>
    <row r="83" spans="1:8" s="179" customFormat="1" ht="12.15" customHeight="1" thickBot="1" x14ac:dyDescent="0.3">
      <c r="A83" s="13" t="s">
        <v>277</v>
      </c>
      <c r="B83" s="364" t="s">
        <v>257</v>
      </c>
      <c r="C83" s="784"/>
      <c r="D83" s="777"/>
      <c r="E83" s="387">
        <f>'1. sz.mell. '!C85</f>
        <v>0</v>
      </c>
      <c r="F83" s="246"/>
      <c r="G83" s="114"/>
      <c r="H83" s="114"/>
    </row>
    <row r="84" spans="1:8" s="179" customFormat="1" ht="12.15" customHeight="1" thickBot="1" x14ac:dyDescent="0.3">
      <c r="A84" s="234" t="s">
        <v>258</v>
      </c>
      <c r="B84" s="365" t="s">
        <v>278</v>
      </c>
      <c r="C84" s="500">
        <f>SUM(C85:C88)</f>
        <v>0</v>
      </c>
      <c r="D84" s="778">
        <f>SUM(D85:D88)</f>
        <v>0</v>
      </c>
      <c r="E84" s="110">
        <f>'1. sz.mell. '!C86</f>
        <v>0</v>
      </c>
      <c r="F84" s="255">
        <f>SUM(F85:F88)</f>
        <v>0</v>
      </c>
      <c r="G84" s="110">
        <f>SUM(G85:G88)</f>
        <v>0</v>
      </c>
      <c r="H84" s="110">
        <f>SUM(H85:H88)</f>
        <v>0</v>
      </c>
    </row>
    <row r="85" spans="1:8" s="179" customFormat="1" ht="12.15" customHeight="1" x14ac:dyDescent="0.25">
      <c r="A85" s="184" t="s">
        <v>259</v>
      </c>
      <c r="B85" s="266" t="s">
        <v>260</v>
      </c>
      <c r="C85" s="783"/>
      <c r="D85" s="776"/>
      <c r="E85" s="385">
        <f>'1. sz.mell. '!C87</f>
        <v>0</v>
      </c>
      <c r="F85" s="246"/>
      <c r="G85" s="114"/>
      <c r="H85" s="114"/>
    </row>
    <row r="86" spans="1:8" s="179" customFormat="1" ht="12.15" customHeight="1" x14ac:dyDescent="0.25">
      <c r="A86" s="185" t="s">
        <v>261</v>
      </c>
      <c r="B86" s="267" t="s">
        <v>262</v>
      </c>
      <c r="C86" s="782"/>
      <c r="D86" s="774"/>
      <c r="E86" s="386">
        <f>'1. sz.mell. '!C88</f>
        <v>0</v>
      </c>
      <c r="F86" s="246"/>
      <c r="G86" s="114"/>
      <c r="H86" s="114"/>
    </row>
    <row r="87" spans="1:8" s="179" customFormat="1" ht="12.15" customHeight="1" x14ac:dyDescent="0.25">
      <c r="A87" s="185" t="s">
        <v>263</v>
      </c>
      <c r="B87" s="267" t="s">
        <v>264</v>
      </c>
      <c r="C87" s="782"/>
      <c r="D87" s="774"/>
      <c r="E87" s="386">
        <f>'1. sz.mell. '!C89</f>
        <v>0</v>
      </c>
      <c r="F87" s="246"/>
      <c r="G87" s="114"/>
      <c r="H87" s="114"/>
    </row>
    <row r="88" spans="1:8" s="179" customFormat="1" ht="12.15" customHeight="1" thickBot="1" x14ac:dyDescent="0.3">
      <c r="A88" s="186" t="s">
        <v>265</v>
      </c>
      <c r="B88" s="364" t="s">
        <v>266</v>
      </c>
      <c r="C88" s="784"/>
      <c r="D88" s="777"/>
      <c r="E88" s="387">
        <f>'1. sz.mell. '!C90</f>
        <v>0</v>
      </c>
      <c r="F88" s="246"/>
      <c r="G88" s="114"/>
      <c r="H88" s="114"/>
    </row>
    <row r="89" spans="1:8" s="179" customFormat="1" ht="12.15" customHeight="1" thickBot="1" x14ac:dyDescent="0.3">
      <c r="A89" s="234" t="s">
        <v>267</v>
      </c>
      <c r="B89" s="365" t="s">
        <v>392</v>
      </c>
      <c r="C89" s="497"/>
      <c r="D89" s="495"/>
      <c r="E89" s="110">
        <f>'1. sz.mell. '!C91</f>
        <v>0</v>
      </c>
      <c r="F89" s="258"/>
      <c r="G89" s="215"/>
      <c r="H89" s="215"/>
    </row>
    <row r="90" spans="1:8" s="179" customFormat="1" ht="12.15" customHeight="1" thickBot="1" x14ac:dyDescent="0.3">
      <c r="A90" s="234" t="s">
        <v>269</v>
      </c>
      <c r="B90" s="365" t="s">
        <v>268</v>
      </c>
      <c r="C90" s="497"/>
      <c r="D90" s="495"/>
      <c r="E90" s="110">
        <f>'1. sz.mell. '!C92</f>
        <v>0</v>
      </c>
      <c r="F90" s="258"/>
      <c r="G90" s="215"/>
      <c r="H90" s="215"/>
    </row>
    <row r="91" spans="1:8" s="179" customFormat="1" ht="12.15" customHeight="1" thickBot="1" x14ac:dyDescent="0.3">
      <c r="A91" s="234" t="s">
        <v>281</v>
      </c>
      <c r="B91" s="367" t="s">
        <v>393</v>
      </c>
      <c r="C91" s="497">
        <f>C90+C89+C84+C80+C77+C72+C68</f>
        <v>3541369114</v>
      </c>
      <c r="D91" s="495">
        <f>D90+D89+D84+D80+D77+D72+D68</f>
        <v>3301599185</v>
      </c>
      <c r="E91" s="110">
        <f>'1. sz.mell. '!C93</f>
        <v>2704706716</v>
      </c>
      <c r="F91" s="257">
        <f>+F68+F72+F77+F80+F84+F90+F89</f>
        <v>515852575</v>
      </c>
      <c r="G91" s="115">
        <f>+G68+G72+G77+G80+G84+G90+G89</f>
        <v>829764</v>
      </c>
      <c r="H91" s="115">
        <f>+H68+H72+H77+H80+H84+H90+H89</f>
        <v>17254367</v>
      </c>
    </row>
    <row r="92" spans="1:8" s="179" customFormat="1" ht="12.15" customHeight="1" thickBot="1" x14ac:dyDescent="0.3">
      <c r="A92" s="236" t="s">
        <v>394</v>
      </c>
      <c r="B92" s="368" t="s">
        <v>395</v>
      </c>
      <c r="C92" s="497">
        <f>C91+C67</f>
        <v>7640077556</v>
      </c>
      <c r="D92" s="495">
        <f>D91+D67</f>
        <v>7511236659</v>
      </c>
      <c r="E92" s="110">
        <f>'1. sz.mell. '!C94</f>
        <v>7091060696</v>
      </c>
      <c r="F92" s="257">
        <f>+F67+F91</f>
        <v>2831811542</v>
      </c>
      <c r="G92" s="115">
        <f>+G67+G91</f>
        <v>9280592</v>
      </c>
      <c r="H92" s="115">
        <f>+H67+H91</f>
        <v>306161282</v>
      </c>
    </row>
    <row r="93" spans="1:8" s="179" customFormat="1" ht="12.15" customHeight="1" thickBot="1" x14ac:dyDescent="0.3">
      <c r="A93" s="1283" t="s">
        <v>44</v>
      </c>
      <c r="B93" s="1283"/>
      <c r="C93" s="1283"/>
      <c r="D93" s="1283"/>
      <c r="E93" s="1283"/>
    </row>
    <row r="94" spans="1:8" s="179" customFormat="1" ht="36.75" customHeight="1" thickBot="1" x14ac:dyDescent="0.3">
      <c r="A94" s="20" t="s">
        <v>14</v>
      </c>
      <c r="B94" s="380" t="s">
        <v>45</v>
      </c>
      <c r="C94" s="1123" t="str">
        <f t="shared" ref="C94:E94" si="0">C6</f>
        <v>2022. évi tény</v>
      </c>
      <c r="D94" s="1119" t="str">
        <f t="shared" si="0"/>
        <v>2023. évi várható adat</v>
      </c>
      <c r="E94" s="760" t="str">
        <f t="shared" si="0"/>
        <v>2024. évi előirányzat</v>
      </c>
    </row>
    <row r="95" spans="1:8" s="179" customFormat="1" ht="12.15" customHeight="1" thickBot="1" x14ac:dyDescent="0.3">
      <c r="A95" s="25" t="s">
        <v>382</v>
      </c>
      <c r="B95" s="275" t="s">
        <v>383</v>
      </c>
      <c r="C95" s="497" t="s">
        <v>384</v>
      </c>
      <c r="D95" s="499" t="s">
        <v>434</v>
      </c>
      <c r="E95" s="494" t="s">
        <v>435</v>
      </c>
    </row>
    <row r="96" spans="1:8" s="179" customFormat="1" ht="15" customHeight="1" thickBot="1" x14ac:dyDescent="0.3">
      <c r="A96" s="19" t="s">
        <v>16</v>
      </c>
      <c r="B96" s="369" t="s">
        <v>433</v>
      </c>
      <c r="C96" s="755">
        <f>SUM(C97:C101,C114)</f>
        <v>3042628918</v>
      </c>
      <c r="D96" s="1120">
        <f>SUM(D97:D101,D114)</f>
        <v>3600275309</v>
      </c>
      <c r="E96" s="762">
        <f>'1. sz.mell. '!C99</f>
        <v>4315154816</v>
      </c>
      <c r="F96" s="261">
        <f>+F97+F98+F99+F100+F101+F114</f>
        <v>729611526</v>
      </c>
      <c r="G96" s="109">
        <f>+G97+G98+G99+G100+G101+G114</f>
        <v>223670940</v>
      </c>
      <c r="H96" s="265">
        <f>H97+H98+H99+H100+H101+H114</f>
        <v>1606947760</v>
      </c>
    </row>
    <row r="97" spans="1:8" s="179" customFormat="1" ht="12.9" customHeight="1" x14ac:dyDescent="0.25">
      <c r="A97" s="14" t="s">
        <v>85</v>
      </c>
      <c r="B97" s="370" t="s">
        <v>46</v>
      </c>
      <c r="C97" s="1055">
        <v>1361088594</v>
      </c>
      <c r="D97" s="1056">
        <v>1575508560</v>
      </c>
      <c r="E97" s="1057">
        <f>'1. sz.mell. '!C100</f>
        <v>1906551416</v>
      </c>
      <c r="F97" s="640">
        <f>23173251+2787126+1407675+14384916+61829+2528076+5742073</f>
        <v>50084946</v>
      </c>
      <c r="G97" s="251">
        <f>147375885+935085+4069918</f>
        <v>152380888</v>
      </c>
      <c r="H97" s="251">
        <f>60512486+64039486+48091292+208655734+471445483</f>
        <v>852744481</v>
      </c>
    </row>
    <row r="98" spans="1:8" ht="16.5" customHeight="1" x14ac:dyDescent="0.3">
      <c r="A98" s="11" t="s">
        <v>86</v>
      </c>
      <c r="B98" s="371" t="s">
        <v>134</v>
      </c>
      <c r="C98" s="785">
        <v>196892466</v>
      </c>
      <c r="D98" s="764">
        <v>206605115</v>
      </c>
      <c r="E98" s="765">
        <f>'1. sz.mell. '!C101</f>
        <v>254857020</v>
      </c>
      <c r="F98" s="246">
        <f>4364055+1409889+7817+2684650+14227+10944+444000+1007723</f>
        <v>9943305</v>
      </c>
      <c r="G98" s="114">
        <f>30406649+133681+815187</f>
        <v>31355517</v>
      </c>
      <c r="H98" s="114">
        <f>13261042+12834203+9499320+44850807+98130166</f>
        <v>178575538</v>
      </c>
    </row>
    <row r="99" spans="1:8" x14ac:dyDescent="0.3">
      <c r="A99" s="11" t="s">
        <v>87</v>
      </c>
      <c r="B99" s="371" t="s">
        <v>110</v>
      </c>
      <c r="C99" s="785">
        <v>1258285725</v>
      </c>
      <c r="D99" s="764">
        <v>1520924386</v>
      </c>
      <c r="E99" s="765">
        <f>'1. sz.mell. '!C102</f>
        <v>1596910262</v>
      </c>
      <c r="F99" s="24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G99" s="170">
        <f>38780508+150000+369027+635000</f>
        <v>39934535</v>
      </c>
      <c r="H99" s="114">
        <f>229985778+15749737+50789082+80145873+198957271</f>
        <v>575627741</v>
      </c>
    </row>
    <row r="100" spans="1:8" s="178" customFormat="1" ht="12.15" customHeight="1" x14ac:dyDescent="0.2">
      <c r="A100" s="11" t="s">
        <v>88</v>
      </c>
      <c r="B100" s="374" t="s">
        <v>135</v>
      </c>
      <c r="C100" s="785">
        <v>37877423</v>
      </c>
      <c r="D100" s="764">
        <v>37565277</v>
      </c>
      <c r="E100" s="765">
        <v>37424380</v>
      </c>
      <c r="F100" s="249">
        <f>24250000+48100000+3500000</f>
        <v>75850000</v>
      </c>
      <c r="G100" s="170"/>
      <c r="H100" s="170"/>
    </row>
    <row r="101" spans="1:8" ht="12.15" customHeight="1" x14ac:dyDescent="0.3">
      <c r="A101" s="11" t="s">
        <v>99</v>
      </c>
      <c r="B101" s="16" t="s">
        <v>136</v>
      </c>
      <c r="C101" s="753">
        <f>SUM(C102:C113)</f>
        <v>188484710</v>
      </c>
      <c r="D101" s="1121">
        <f>SUM(D102:D113)</f>
        <v>259671971</v>
      </c>
      <c r="E101" s="753">
        <f>'1. sz.mell. '!C104</f>
        <v>367647874</v>
      </c>
      <c r="F101" s="249">
        <f>SUM(F102:F113)</f>
        <v>219979003</v>
      </c>
      <c r="G101" s="249">
        <f>SUM(G102:G113)</f>
        <v>0</v>
      </c>
      <c r="H101" s="170"/>
    </row>
    <row r="102" spans="1:8" ht="12.15" customHeight="1" x14ac:dyDescent="0.3">
      <c r="A102" s="11" t="s">
        <v>89</v>
      </c>
      <c r="B102" s="371" t="s">
        <v>396</v>
      </c>
      <c r="C102" s="785">
        <v>5936986</v>
      </c>
      <c r="D102" s="764">
        <v>12031426</v>
      </c>
      <c r="E102" s="765">
        <f>'1. sz.mell. '!C105</f>
        <v>8730222</v>
      </c>
      <c r="F102" s="249">
        <v>100000</v>
      </c>
      <c r="G102" s="170"/>
      <c r="H102" s="170"/>
    </row>
    <row r="103" spans="1:8" ht="12.15" customHeight="1" x14ac:dyDescent="0.3">
      <c r="A103" s="11" t="s">
        <v>90</v>
      </c>
      <c r="B103" s="373" t="s">
        <v>397</v>
      </c>
      <c r="C103" s="785">
        <v>5091319</v>
      </c>
      <c r="D103" s="764">
        <v>19789124</v>
      </c>
      <c r="E103" s="765">
        <f>'1. sz.mell. '!C106</f>
        <v>41408678</v>
      </c>
      <c r="F103" s="249"/>
      <c r="G103" s="170"/>
      <c r="H103" s="170"/>
    </row>
    <row r="104" spans="1:8" ht="12.15" customHeight="1" x14ac:dyDescent="0.3">
      <c r="A104" s="11" t="s">
        <v>100</v>
      </c>
      <c r="B104" s="373" t="s">
        <v>398</v>
      </c>
      <c r="C104" s="785"/>
      <c r="D104" s="764"/>
      <c r="E104" s="765">
        <f>'1. sz.mell. '!C107</f>
        <v>2275535</v>
      </c>
      <c r="F104" s="249"/>
      <c r="G104" s="170"/>
      <c r="H104" s="170"/>
    </row>
    <row r="105" spans="1:8" ht="12.15" customHeight="1" x14ac:dyDescent="0.3">
      <c r="A105" s="11" t="s">
        <v>101</v>
      </c>
      <c r="B105" s="382" t="s">
        <v>284</v>
      </c>
      <c r="C105" s="785"/>
      <c r="D105" s="764"/>
      <c r="E105" s="765">
        <f>'1. sz.mell. '!C108</f>
        <v>0</v>
      </c>
      <c r="F105" s="249"/>
      <c r="G105" s="170"/>
      <c r="H105" s="170"/>
    </row>
    <row r="106" spans="1:8" ht="12.15" customHeight="1" x14ac:dyDescent="0.3">
      <c r="A106" s="11" t="s">
        <v>102</v>
      </c>
      <c r="B106" s="379" t="s">
        <v>285</v>
      </c>
      <c r="C106" s="785"/>
      <c r="D106" s="764"/>
      <c r="E106" s="765">
        <f>'1. sz.mell. '!C109</f>
        <v>0</v>
      </c>
      <c r="F106" s="249"/>
      <c r="G106" s="170"/>
      <c r="H106" s="170"/>
    </row>
    <row r="107" spans="1:8" ht="12.15" customHeight="1" x14ac:dyDescent="0.3">
      <c r="A107" s="11" t="s">
        <v>103</v>
      </c>
      <c r="B107" s="379" t="s">
        <v>286</v>
      </c>
      <c r="C107" s="785"/>
      <c r="D107" s="764"/>
      <c r="E107" s="765">
        <f>'1. sz.mell. '!C110</f>
        <v>0</v>
      </c>
      <c r="F107" s="249"/>
      <c r="G107" s="170"/>
      <c r="H107" s="170"/>
    </row>
    <row r="108" spans="1:8" ht="12.15" customHeight="1" x14ac:dyDescent="0.3">
      <c r="A108" s="11" t="s">
        <v>105</v>
      </c>
      <c r="B108" s="382" t="s">
        <v>287</v>
      </c>
      <c r="C108" s="785">
        <v>683837</v>
      </c>
      <c r="D108" s="764">
        <v>5510387</v>
      </c>
      <c r="E108" s="765">
        <f>'1. sz.mell. '!C111</f>
        <v>10324798</v>
      </c>
      <c r="F108" s="249">
        <f>523000</f>
        <v>523000</v>
      </c>
      <c r="G108" s="170"/>
      <c r="H108" s="170"/>
    </row>
    <row r="109" spans="1:8" ht="12.15" customHeight="1" x14ac:dyDescent="0.3">
      <c r="A109" s="11" t="s">
        <v>137</v>
      </c>
      <c r="B109" s="382" t="s">
        <v>288</v>
      </c>
      <c r="C109" s="785"/>
      <c r="D109" s="764"/>
      <c r="E109" s="765">
        <f>'1. sz.mell. '!C112</f>
        <v>0</v>
      </c>
      <c r="F109" s="249"/>
      <c r="G109" s="170"/>
      <c r="H109" s="170"/>
    </row>
    <row r="110" spans="1:8" ht="12.15" customHeight="1" x14ac:dyDescent="0.3">
      <c r="A110" s="11" t="s">
        <v>282</v>
      </c>
      <c r="B110" s="379" t="s">
        <v>289</v>
      </c>
      <c r="C110" s="785"/>
      <c r="D110" s="764"/>
      <c r="E110" s="765">
        <f>'1. sz.mell. '!C113</f>
        <v>0</v>
      </c>
      <c r="F110" s="249"/>
      <c r="G110" s="170"/>
      <c r="H110" s="170"/>
    </row>
    <row r="111" spans="1:8" ht="12.15" customHeight="1" x14ac:dyDescent="0.3">
      <c r="A111" s="10" t="s">
        <v>283</v>
      </c>
      <c r="B111" s="373" t="s">
        <v>290</v>
      </c>
      <c r="C111" s="785"/>
      <c r="D111" s="764"/>
      <c r="E111" s="765">
        <f>'1. sz.mell. '!C114</f>
        <v>0</v>
      </c>
      <c r="F111" s="249"/>
      <c r="G111" s="170"/>
      <c r="H111" s="170"/>
    </row>
    <row r="112" spans="1:8" ht="12.15" customHeight="1" x14ac:dyDescent="0.3">
      <c r="A112" s="11" t="s">
        <v>399</v>
      </c>
      <c r="B112" s="373" t="s">
        <v>291</v>
      </c>
      <c r="C112" s="785"/>
      <c r="D112" s="764"/>
      <c r="E112" s="765">
        <f>'1. sz.mell. '!C115</f>
        <v>0</v>
      </c>
      <c r="F112" s="249"/>
      <c r="G112" s="170"/>
      <c r="H112" s="170"/>
    </row>
    <row r="113" spans="1:8" ht="12.15" customHeight="1" x14ac:dyDescent="0.3">
      <c r="A113" s="13" t="s">
        <v>400</v>
      </c>
      <c r="B113" s="373" t="s">
        <v>292</v>
      </c>
      <c r="C113" s="785">
        <v>176772568</v>
      </c>
      <c r="D113" s="764">
        <v>222341034</v>
      </c>
      <c r="E113" s="765">
        <v>213199494</v>
      </c>
      <c r="F113" s="246">
        <f>1000000+47869145+6604733+15489215+46984511+23326783+69312000+7332000+1437616</f>
        <v>219356003</v>
      </c>
      <c r="G113" s="114"/>
      <c r="H113" s="170"/>
    </row>
    <row r="114" spans="1:8" ht="12.15" customHeight="1" x14ac:dyDescent="0.3">
      <c r="A114" s="11" t="s">
        <v>401</v>
      </c>
      <c r="B114" s="374" t="s">
        <v>47</v>
      </c>
      <c r="C114" s="785"/>
      <c r="D114" s="764"/>
      <c r="E114" s="765">
        <f>'1. sz.mell. '!C117</f>
        <v>140388244</v>
      </c>
      <c r="F114" s="246">
        <f>SUM(F115:F116)</f>
        <v>78390965</v>
      </c>
      <c r="G114" s="246">
        <f>SUM(G115:G116)</f>
        <v>0</v>
      </c>
      <c r="H114" s="114"/>
    </row>
    <row r="115" spans="1:8" ht="12.15" customHeight="1" x14ac:dyDescent="0.3">
      <c r="A115" s="11" t="s">
        <v>402</v>
      </c>
      <c r="B115" s="371" t="s">
        <v>403</v>
      </c>
      <c r="C115" s="785"/>
      <c r="D115" s="764"/>
      <c r="E115" s="765">
        <f>'1. sz.mell. '!C118</f>
        <v>18212136</v>
      </c>
      <c r="F115" s="249">
        <v>15000000</v>
      </c>
      <c r="G115" s="170"/>
      <c r="H115" s="114"/>
    </row>
    <row r="116" spans="1:8" ht="12.15" customHeight="1" thickBot="1" x14ac:dyDescent="0.35">
      <c r="A116" s="15" t="s">
        <v>404</v>
      </c>
      <c r="B116" s="375" t="s">
        <v>405</v>
      </c>
      <c r="C116" s="786"/>
      <c r="D116" s="761"/>
      <c r="E116" s="765">
        <f>'1. sz.mell. '!C119</f>
        <v>122176108</v>
      </c>
      <c r="F116" s="270">
        <f>63390965</f>
        <v>63390965</v>
      </c>
      <c r="G116" s="254"/>
      <c r="H116" s="254"/>
    </row>
    <row r="117" spans="1:8" ht="12.15" customHeight="1" thickBot="1" x14ac:dyDescent="0.35">
      <c r="A117" s="238" t="s">
        <v>17</v>
      </c>
      <c r="B117" s="355" t="s">
        <v>293</v>
      </c>
      <c r="C117" s="755">
        <f>C118+C120+C122</f>
        <v>1236899398</v>
      </c>
      <c r="D117" s="1120">
        <f>D118+D120+D122</f>
        <v>1407896742</v>
      </c>
      <c r="E117" s="763">
        <f>'1. sz.mell. '!C120</f>
        <v>1575070345</v>
      </c>
      <c r="F117" s="255">
        <f>+F118+F120+F122</f>
        <v>404630354</v>
      </c>
      <c r="G117" s="110">
        <f>+G118+G120+G122</f>
        <v>3585917</v>
      </c>
      <c r="H117" s="240">
        <f>+H118+H120+H122</f>
        <v>19950087</v>
      </c>
    </row>
    <row r="118" spans="1:8" ht="12.15" customHeight="1" x14ac:dyDescent="0.3">
      <c r="A118" s="12" t="s">
        <v>91</v>
      </c>
      <c r="B118" s="371" t="s">
        <v>157</v>
      </c>
      <c r="C118" s="787">
        <v>169132900</v>
      </c>
      <c r="D118" s="756">
        <v>534715195</v>
      </c>
      <c r="E118" s="765">
        <f>'1. sz.mell. '!C121</f>
        <v>544543857</v>
      </c>
      <c r="F118" s="639">
        <f>229989520+300000+13809000+835610+12076323+1270000+359410+4508500+2505001+5000+6704583</f>
        <v>272362947</v>
      </c>
      <c r="G118" s="214">
        <f>3355917+230000</f>
        <v>3585917</v>
      </c>
      <c r="H118" s="214">
        <f>506050+641350+1986214+1926590+13924683</f>
        <v>18984887</v>
      </c>
    </row>
    <row r="119" spans="1:8" x14ac:dyDescent="0.3">
      <c r="A119" s="12" t="s">
        <v>92</v>
      </c>
      <c r="B119" s="372" t="s">
        <v>297</v>
      </c>
      <c r="C119" s="785">
        <v>89812446</v>
      </c>
      <c r="D119" s="764"/>
      <c r="E119" s="765">
        <f>'1. sz.mell. '!C122</f>
        <v>255720097</v>
      </c>
      <c r="F119" s="639">
        <f>156693000+42191010+12076323+6704583</f>
        <v>217664916</v>
      </c>
      <c r="G119" s="214"/>
      <c r="H119" s="214">
        <v>717651</v>
      </c>
    </row>
    <row r="120" spans="1:8" ht="12.15" customHeight="1" x14ac:dyDescent="0.3">
      <c r="A120" s="12" t="s">
        <v>93</v>
      </c>
      <c r="B120" s="372" t="s">
        <v>138</v>
      </c>
      <c r="C120" s="785">
        <v>1065865090</v>
      </c>
      <c r="D120" s="764">
        <v>855584003</v>
      </c>
      <c r="E120" s="765">
        <f>'1. sz.mell. '!C123</f>
        <v>976239214</v>
      </c>
      <c r="F120" s="246">
        <f>9517731+51474577+42450993+1905000</f>
        <v>105348301</v>
      </c>
      <c r="G120" s="114"/>
      <c r="H120" s="114">
        <v>965200</v>
      </c>
    </row>
    <row r="121" spans="1:8" ht="12.15" customHeight="1" x14ac:dyDescent="0.3">
      <c r="A121" s="12" t="s">
        <v>94</v>
      </c>
      <c r="B121" s="372" t="s">
        <v>298</v>
      </c>
      <c r="C121" s="785">
        <v>171245198</v>
      </c>
      <c r="D121" s="764"/>
      <c r="E121" s="765">
        <f>'1. sz.mell. '!C124</f>
        <v>605613240</v>
      </c>
      <c r="F121" s="246">
        <f>28614577+42450993-1206500</f>
        <v>69859070</v>
      </c>
      <c r="G121" s="468"/>
      <c r="H121" s="246"/>
    </row>
    <row r="122" spans="1:8" ht="12.15" customHeight="1" x14ac:dyDescent="0.3">
      <c r="A122" s="12" t="s">
        <v>95</v>
      </c>
      <c r="B122" s="364" t="s">
        <v>159</v>
      </c>
      <c r="C122" s="785">
        <f>SUM(C123:C130)</f>
        <v>1901408</v>
      </c>
      <c r="D122" s="764">
        <f>SUM(D123:D130)</f>
        <v>17597544</v>
      </c>
      <c r="E122" s="765">
        <f>'1. sz.mell. '!C125</f>
        <v>54287274</v>
      </c>
      <c r="F122" s="246">
        <f>SUM(F123:F130)</f>
        <v>26919106</v>
      </c>
      <c r="G122" s="246">
        <f>SUM(G123:G130)</f>
        <v>0</v>
      </c>
      <c r="H122" s="246"/>
    </row>
    <row r="123" spans="1:8" ht="12.15" customHeight="1" x14ac:dyDescent="0.3">
      <c r="A123" s="12" t="s">
        <v>104</v>
      </c>
      <c r="B123" s="363" t="s">
        <v>358</v>
      </c>
      <c r="C123" s="785"/>
      <c r="D123" s="764"/>
      <c r="E123" s="765">
        <f>'1. sz.mell. '!C126</f>
        <v>0</v>
      </c>
      <c r="F123" s="99"/>
      <c r="G123" s="99"/>
      <c r="H123" s="246"/>
    </row>
    <row r="124" spans="1:8" ht="12.15" customHeight="1" x14ac:dyDescent="0.3">
      <c r="A124" s="12" t="s">
        <v>106</v>
      </c>
      <c r="B124" s="378" t="s">
        <v>303</v>
      </c>
      <c r="C124" s="785"/>
      <c r="D124" s="764"/>
      <c r="E124" s="765">
        <f>'1. sz.mell. '!C127</f>
        <v>0</v>
      </c>
      <c r="F124" s="99"/>
      <c r="G124" s="99"/>
      <c r="H124" s="246"/>
    </row>
    <row r="125" spans="1:8" ht="12.15" customHeight="1" x14ac:dyDescent="0.3">
      <c r="A125" s="12" t="s">
        <v>139</v>
      </c>
      <c r="B125" s="379" t="s">
        <v>286</v>
      </c>
      <c r="C125" s="785"/>
      <c r="D125" s="764"/>
      <c r="E125" s="765">
        <f>'1. sz.mell. '!C128</f>
        <v>0</v>
      </c>
      <c r="F125" s="99"/>
      <c r="G125" s="99"/>
      <c r="H125" s="246"/>
    </row>
    <row r="126" spans="1:8" ht="12.15" customHeight="1" x14ac:dyDescent="0.3">
      <c r="A126" s="12" t="s">
        <v>140</v>
      </c>
      <c r="B126" s="379" t="s">
        <v>302</v>
      </c>
      <c r="C126" s="785">
        <v>1454176</v>
      </c>
      <c r="D126" s="764"/>
      <c r="E126" s="765">
        <f>'1. sz.mell. '!C129</f>
        <v>51986182</v>
      </c>
      <c r="F126" s="99"/>
      <c r="G126" s="99"/>
      <c r="H126" s="246"/>
    </row>
    <row r="127" spans="1:8" ht="12.15" customHeight="1" x14ac:dyDescent="0.3">
      <c r="A127" s="12" t="s">
        <v>141</v>
      </c>
      <c r="B127" s="379" t="s">
        <v>301</v>
      </c>
      <c r="C127" s="785"/>
      <c r="D127" s="764"/>
      <c r="E127" s="765">
        <f>'1. sz.mell. '!C130</f>
        <v>0</v>
      </c>
      <c r="F127" s="99"/>
      <c r="G127" s="99"/>
      <c r="H127" s="246"/>
    </row>
    <row r="128" spans="1:8" ht="12.15" customHeight="1" x14ac:dyDescent="0.3">
      <c r="A128" s="12" t="s">
        <v>294</v>
      </c>
      <c r="B128" s="379" t="s">
        <v>289</v>
      </c>
      <c r="C128" s="785"/>
      <c r="D128" s="764"/>
      <c r="E128" s="765">
        <f>'1. sz.mell. '!C131</f>
        <v>0</v>
      </c>
      <c r="F128" s="99"/>
      <c r="G128" s="99"/>
      <c r="H128" s="246"/>
    </row>
    <row r="129" spans="1:8" ht="12.15" customHeight="1" x14ac:dyDescent="0.3">
      <c r="A129" s="12" t="s">
        <v>295</v>
      </c>
      <c r="B129" s="379" t="s">
        <v>300</v>
      </c>
      <c r="C129" s="785"/>
      <c r="D129" s="764"/>
      <c r="E129" s="765">
        <f>'1. sz.mell. '!C132</f>
        <v>0</v>
      </c>
      <c r="F129" s="99"/>
      <c r="G129" s="99"/>
      <c r="H129" s="246"/>
    </row>
    <row r="130" spans="1:8" ht="12.15" customHeight="1" thickBot="1" x14ac:dyDescent="0.35">
      <c r="A130" s="10" t="s">
        <v>296</v>
      </c>
      <c r="B130" s="379" t="s">
        <v>299</v>
      </c>
      <c r="C130" s="786">
        <v>447232</v>
      </c>
      <c r="D130" s="761">
        <v>17597544</v>
      </c>
      <c r="E130" s="765">
        <f>'1. sz.mell. '!C133</f>
        <v>2301092</v>
      </c>
      <c r="F130" s="249">
        <f>650000+26269106</f>
        <v>26919106</v>
      </c>
      <c r="G130" s="249"/>
      <c r="H130" s="249"/>
    </row>
    <row r="131" spans="1:8" ht="12.15" customHeight="1" thickBot="1" x14ac:dyDescent="0.35">
      <c r="A131" s="17" t="s">
        <v>18</v>
      </c>
      <c r="B131" s="356" t="s">
        <v>406</v>
      </c>
      <c r="C131" s="755">
        <f>C117+C96</f>
        <v>4279528316</v>
      </c>
      <c r="D131" s="1120">
        <f>D117+D96</f>
        <v>5008172051</v>
      </c>
      <c r="E131" s="763">
        <f>'1. sz.mell. '!C134</f>
        <v>5890225161</v>
      </c>
      <c r="F131" s="255">
        <f>+F96+F117</f>
        <v>1134241880</v>
      </c>
      <c r="G131" s="110">
        <f>+G96+G117</f>
        <v>227256857</v>
      </c>
      <c r="H131" s="110">
        <f>+H96+H117</f>
        <v>1626897847</v>
      </c>
    </row>
    <row r="132" spans="1:8" ht="12.15" customHeight="1" thickBot="1" x14ac:dyDescent="0.35">
      <c r="A132" s="17" t="s">
        <v>19</v>
      </c>
      <c r="B132" s="356" t="s">
        <v>407</v>
      </c>
      <c r="C132" s="755">
        <f>SUM(C133:C135)</f>
        <v>1064093109</v>
      </c>
      <c r="D132" s="1120">
        <f>SUM(D133:D135)</f>
        <v>895445148</v>
      </c>
      <c r="E132" s="763">
        <f>'1. sz.mell. '!C135</f>
        <v>1133102330</v>
      </c>
      <c r="F132" s="255">
        <f>+F133+F134+F135</f>
        <v>116952500</v>
      </c>
      <c r="G132" s="110">
        <f>+G133+G134+G135</f>
        <v>0</v>
      </c>
      <c r="H132" s="110">
        <f>+H133+H134+H135</f>
        <v>0</v>
      </c>
    </row>
    <row r="133" spans="1:8" ht="12.15" customHeight="1" x14ac:dyDescent="0.3">
      <c r="A133" s="12" t="s">
        <v>195</v>
      </c>
      <c r="B133" s="372" t="s">
        <v>408</v>
      </c>
      <c r="C133" s="788">
        <v>22728296</v>
      </c>
      <c r="D133" s="757">
        <v>20315686</v>
      </c>
      <c r="E133" s="765">
        <f>'1. sz.mell. '!C136</f>
        <v>33102330</v>
      </c>
      <c r="F133" s="246">
        <f>11674500+5278000</f>
        <v>16952500</v>
      </c>
      <c r="G133" s="246"/>
      <c r="H133" s="246"/>
    </row>
    <row r="134" spans="1:8" ht="12.15" customHeight="1" x14ac:dyDescent="0.3">
      <c r="A134" s="12" t="s">
        <v>198</v>
      </c>
      <c r="B134" s="372" t="s">
        <v>409</v>
      </c>
      <c r="C134" s="789">
        <v>1041364813</v>
      </c>
      <c r="D134" s="758">
        <v>875129462</v>
      </c>
      <c r="E134" s="765">
        <f>'1. sz.mell. '!C137</f>
        <v>1100000000</v>
      </c>
      <c r="F134" s="99">
        <v>100000000</v>
      </c>
      <c r="G134" s="99"/>
      <c r="H134" s="99"/>
    </row>
    <row r="135" spans="1:8" ht="12.15" customHeight="1" thickBot="1" x14ac:dyDescent="0.35">
      <c r="A135" s="10" t="s">
        <v>199</v>
      </c>
      <c r="B135" s="372" t="s">
        <v>410</v>
      </c>
      <c r="C135" s="790"/>
      <c r="D135" s="752"/>
      <c r="E135" s="754">
        <f>'1. sz.mell. '!C138</f>
        <v>0</v>
      </c>
      <c r="F135" s="99"/>
      <c r="G135" s="99"/>
      <c r="H135" s="99"/>
    </row>
    <row r="136" spans="1:8" ht="12.15" customHeight="1" thickBot="1" x14ac:dyDescent="0.35">
      <c r="A136" s="17" t="s">
        <v>20</v>
      </c>
      <c r="B136" s="356" t="s">
        <v>411</v>
      </c>
      <c r="C136" s="759">
        <f>SUM(C137:C142)</f>
        <v>0</v>
      </c>
      <c r="D136" s="769">
        <f>SUM(D137:D142)</f>
        <v>0</v>
      </c>
      <c r="E136" s="759">
        <f>'1. sz.mell. '!C139</f>
        <v>0</v>
      </c>
      <c r="F136" s="255">
        <f>+F137+F138+F139+F140+F141+F142</f>
        <v>0</v>
      </c>
      <c r="G136" s="110">
        <f>+G137+G138+G139+G140+G141+G142</f>
        <v>0</v>
      </c>
      <c r="H136" s="110">
        <f>SUM(H137:H142)</f>
        <v>0</v>
      </c>
    </row>
    <row r="137" spans="1:8" ht="12.15" customHeight="1" x14ac:dyDescent="0.3">
      <c r="A137" s="12" t="s">
        <v>78</v>
      </c>
      <c r="B137" s="376" t="s">
        <v>412</v>
      </c>
      <c r="C137" s="788"/>
      <c r="D137" s="757"/>
      <c r="E137" s="765">
        <f>'1. sz.mell. '!C140</f>
        <v>0</v>
      </c>
      <c r="F137" s="99"/>
      <c r="G137" s="99"/>
      <c r="H137" s="99"/>
    </row>
    <row r="138" spans="1:8" ht="12.15" customHeight="1" x14ac:dyDescent="0.3">
      <c r="A138" s="12" t="s">
        <v>79</v>
      </c>
      <c r="B138" s="376" t="s">
        <v>413</v>
      </c>
      <c r="C138" s="789"/>
      <c r="D138" s="758"/>
      <c r="E138" s="765">
        <f>'1. sz.mell. '!C141</f>
        <v>0</v>
      </c>
      <c r="F138" s="99"/>
      <c r="G138" s="99"/>
      <c r="H138" s="99"/>
    </row>
    <row r="139" spans="1:8" ht="12.15" customHeight="1" x14ac:dyDescent="0.3">
      <c r="A139" s="12" t="s">
        <v>80</v>
      </c>
      <c r="B139" s="376" t="s">
        <v>414</v>
      </c>
      <c r="C139" s="789"/>
      <c r="D139" s="758"/>
      <c r="E139" s="765">
        <f>'1. sz.mell. '!C142</f>
        <v>0</v>
      </c>
      <c r="F139" s="99"/>
      <c r="G139" s="99"/>
      <c r="H139" s="99"/>
    </row>
    <row r="140" spans="1:8" ht="12.15" customHeight="1" x14ac:dyDescent="0.3">
      <c r="A140" s="12" t="s">
        <v>126</v>
      </c>
      <c r="B140" s="376" t="s">
        <v>415</v>
      </c>
      <c r="C140" s="789"/>
      <c r="D140" s="758"/>
      <c r="E140" s="765">
        <f>'1. sz.mell. '!C143</f>
        <v>0</v>
      </c>
      <c r="F140" s="99"/>
      <c r="G140" s="99"/>
      <c r="H140" s="99"/>
    </row>
    <row r="141" spans="1:8" ht="12.15" customHeight="1" x14ac:dyDescent="0.3">
      <c r="A141" s="12" t="s">
        <v>127</v>
      </c>
      <c r="B141" s="376" t="s">
        <v>416</v>
      </c>
      <c r="C141" s="789"/>
      <c r="D141" s="758"/>
      <c r="E141" s="765">
        <f>'1. sz.mell. '!C144</f>
        <v>0</v>
      </c>
      <c r="F141" s="99"/>
      <c r="G141" s="99"/>
      <c r="H141" s="99"/>
    </row>
    <row r="142" spans="1:8" ht="12.15" customHeight="1" thickBot="1" x14ac:dyDescent="0.35">
      <c r="A142" s="10" t="s">
        <v>128</v>
      </c>
      <c r="B142" s="376" t="s">
        <v>417</v>
      </c>
      <c r="C142" s="790"/>
      <c r="D142" s="752"/>
      <c r="E142" s="754">
        <f>'1. sz.mell. '!C145</f>
        <v>0</v>
      </c>
      <c r="F142" s="99"/>
      <c r="G142" s="99"/>
      <c r="H142" s="99"/>
    </row>
    <row r="143" spans="1:8" ht="12.15" customHeight="1" thickBot="1" x14ac:dyDescent="0.35">
      <c r="A143" s="17" t="s">
        <v>21</v>
      </c>
      <c r="B143" s="356" t="s">
        <v>418</v>
      </c>
      <c r="C143" s="755">
        <f t="shared" ref="C143" si="1">SUM(C144:C147)</f>
        <v>55076107</v>
      </c>
      <c r="D143" s="1120">
        <f t="shared" ref="D143:H143" si="2">SUM(D144:D147)</f>
        <v>61842606</v>
      </c>
      <c r="E143" s="755">
        <f>'1. sz.mell. '!C146</f>
        <v>67733205</v>
      </c>
      <c r="F143" s="495">
        <f t="shared" si="2"/>
        <v>41904332</v>
      </c>
      <c r="G143" s="497">
        <f t="shared" si="2"/>
        <v>0</v>
      </c>
      <c r="H143" s="497">
        <f t="shared" si="2"/>
        <v>0</v>
      </c>
    </row>
    <row r="144" spans="1:8" ht="12.15" customHeight="1" x14ac:dyDescent="0.3">
      <c r="A144" s="12" t="s">
        <v>81</v>
      </c>
      <c r="B144" s="376" t="s">
        <v>304</v>
      </c>
      <c r="C144" s="788"/>
      <c r="D144" s="757"/>
      <c r="E144" s="766">
        <f>'1. sz.mell. '!C147</f>
        <v>0</v>
      </c>
      <c r="F144" s="99"/>
      <c r="G144" s="99"/>
      <c r="H144" s="99"/>
    </row>
    <row r="145" spans="1:8" ht="12.15" customHeight="1" x14ac:dyDescent="0.3">
      <c r="A145" s="12" t="s">
        <v>82</v>
      </c>
      <c r="B145" s="376" t="s">
        <v>305</v>
      </c>
      <c r="C145" s="789">
        <v>55076107</v>
      </c>
      <c r="D145" s="758">
        <v>61842606</v>
      </c>
      <c r="E145" s="765">
        <f>'1. sz.mell. '!C148</f>
        <v>67733205</v>
      </c>
      <c r="F145" s="99">
        <f>41904332</f>
        <v>41904332</v>
      </c>
      <c r="G145" s="99"/>
      <c r="H145" s="99"/>
    </row>
    <row r="146" spans="1:8" ht="12.15" customHeight="1" x14ac:dyDescent="0.3">
      <c r="A146" s="12" t="s">
        <v>218</v>
      </c>
      <c r="B146" s="376" t="s">
        <v>419</v>
      </c>
      <c r="C146" s="789"/>
      <c r="D146" s="758"/>
      <c r="E146" s="766">
        <f>'1. sz.mell. '!C149</f>
        <v>0</v>
      </c>
      <c r="F146" s="99"/>
      <c r="G146" s="99"/>
      <c r="H146" s="99"/>
    </row>
    <row r="147" spans="1:8" ht="12.15" customHeight="1" thickBot="1" x14ac:dyDescent="0.35">
      <c r="A147" s="10" t="s">
        <v>219</v>
      </c>
      <c r="B147" s="377" t="s">
        <v>323</v>
      </c>
      <c r="C147" s="790"/>
      <c r="D147" s="752"/>
      <c r="E147" s="767">
        <f>'1. sz.mell. '!C150</f>
        <v>0</v>
      </c>
      <c r="F147" s="99"/>
      <c r="G147" s="99"/>
      <c r="H147" s="99"/>
    </row>
    <row r="148" spans="1:8" ht="12.15" customHeight="1" thickBot="1" x14ac:dyDescent="0.35">
      <c r="A148" s="17" t="s">
        <v>22</v>
      </c>
      <c r="B148" s="356" t="s">
        <v>420</v>
      </c>
      <c r="C148" s="768">
        <f>SUM(C149:C153)</f>
        <v>0</v>
      </c>
      <c r="D148" s="1122">
        <f>SUM(D149:D153)</f>
        <v>0</v>
      </c>
      <c r="E148" s="768">
        <f>'1. sz.mell. '!C151</f>
        <v>0</v>
      </c>
      <c r="F148" s="262">
        <f>+F149+F150+F151+F152+F153</f>
        <v>0</v>
      </c>
      <c r="G148" s="118">
        <f>+G149+G150+G151+G152+G153</f>
        <v>0</v>
      </c>
      <c r="H148" s="118">
        <f>SUM(H149:H153)</f>
        <v>0</v>
      </c>
    </row>
    <row r="149" spans="1:8" ht="12.15" customHeight="1" x14ac:dyDescent="0.3">
      <c r="A149" s="12" t="s">
        <v>83</v>
      </c>
      <c r="B149" s="376" t="s">
        <v>421</v>
      </c>
      <c r="C149" s="788"/>
      <c r="D149" s="757"/>
      <c r="E149" s="766">
        <f>'1. sz.mell. '!C152</f>
        <v>0</v>
      </c>
      <c r="F149" s="99"/>
      <c r="G149" s="99"/>
      <c r="H149" s="99"/>
    </row>
    <row r="150" spans="1:8" ht="12.15" customHeight="1" x14ac:dyDescent="0.3">
      <c r="A150" s="12" t="s">
        <v>84</v>
      </c>
      <c r="B150" s="376" t="s">
        <v>422</v>
      </c>
      <c r="C150" s="789"/>
      <c r="D150" s="758"/>
      <c r="E150" s="766">
        <f>'1. sz.mell. '!C153</f>
        <v>0</v>
      </c>
      <c r="F150" s="99"/>
      <c r="G150" s="99"/>
      <c r="H150" s="99"/>
    </row>
    <row r="151" spans="1:8" ht="12.15" customHeight="1" x14ac:dyDescent="0.3">
      <c r="A151" s="12" t="s">
        <v>230</v>
      </c>
      <c r="B151" s="376" t="s">
        <v>423</v>
      </c>
      <c r="C151" s="789"/>
      <c r="D151" s="758"/>
      <c r="E151" s="766">
        <f>'1. sz.mell. '!C154</f>
        <v>0</v>
      </c>
      <c r="F151" s="99"/>
      <c r="G151" s="99"/>
      <c r="H151" s="99"/>
    </row>
    <row r="152" spans="1:8" ht="12.15" customHeight="1" x14ac:dyDescent="0.3">
      <c r="A152" s="12" t="s">
        <v>231</v>
      </c>
      <c r="B152" s="376" t="s">
        <v>424</v>
      </c>
      <c r="C152" s="789"/>
      <c r="D152" s="758"/>
      <c r="E152" s="766">
        <f>'1. sz.mell. '!C155</f>
        <v>0</v>
      </c>
      <c r="F152" s="99"/>
      <c r="G152" s="99"/>
      <c r="H152" s="99"/>
    </row>
    <row r="153" spans="1:8" ht="12.15" customHeight="1" thickBot="1" x14ac:dyDescent="0.35">
      <c r="A153" s="12" t="s">
        <v>425</v>
      </c>
      <c r="B153" s="376" t="s">
        <v>426</v>
      </c>
      <c r="C153" s="790"/>
      <c r="D153" s="752"/>
      <c r="E153" s="767">
        <f>'1. sz.mell. '!C156</f>
        <v>0</v>
      </c>
      <c r="F153" s="100"/>
      <c r="G153" s="100"/>
      <c r="H153" s="99"/>
    </row>
    <row r="154" spans="1:8" ht="12.15" customHeight="1" thickBot="1" x14ac:dyDescent="0.35">
      <c r="A154" s="17" t="s">
        <v>23</v>
      </c>
      <c r="B154" s="356" t="s">
        <v>427</v>
      </c>
      <c r="C154" s="759"/>
      <c r="D154" s="769"/>
      <c r="E154" s="763">
        <f>'1. sz.mell. '!C157</f>
        <v>0</v>
      </c>
      <c r="F154" s="262"/>
      <c r="G154" s="118"/>
      <c r="H154" s="241"/>
    </row>
    <row r="155" spans="1:8" ht="12.15" customHeight="1" thickBot="1" x14ac:dyDescent="0.35">
      <c r="A155" s="17" t="s">
        <v>24</v>
      </c>
      <c r="B155" s="356" t="s">
        <v>428</v>
      </c>
      <c r="C155" s="759"/>
      <c r="D155" s="769"/>
      <c r="E155" s="763">
        <f>'1. sz.mell. '!C158</f>
        <v>0</v>
      </c>
      <c r="F155" s="262"/>
      <c r="G155" s="118"/>
      <c r="H155" s="241"/>
    </row>
    <row r="156" spans="1:8" ht="15" customHeight="1" thickBot="1" x14ac:dyDescent="0.35">
      <c r="A156" s="17" t="s">
        <v>25</v>
      </c>
      <c r="B156" s="356" t="s">
        <v>429</v>
      </c>
      <c r="C156" s="755">
        <f>C132+C136+C143+C148+C154+C155</f>
        <v>1119169216</v>
      </c>
      <c r="D156" s="1120">
        <f>D132+D136+D143+D148+D154+D155</f>
        <v>957287754</v>
      </c>
      <c r="E156" s="763">
        <f>'1. sz.mell. '!C159</f>
        <v>1200835535</v>
      </c>
      <c r="F156" s="263">
        <f>+F132+F136+F143+F148+F154+F155</f>
        <v>158856832</v>
      </c>
      <c r="G156" s="189">
        <f>+G132+G136+G143+G148+G154+G155</f>
        <v>0</v>
      </c>
      <c r="H156" s="189">
        <f>+H132+H136+H143+H148+H154+H155</f>
        <v>0</v>
      </c>
    </row>
    <row r="157" spans="1:8" s="179" customFormat="1" ht="12.9" customHeight="1" thickBot="1" x14ac:dyDescent="0.3">
      <c r="A157" s="108" t="s">
        <v>26</v>
      </c>
      <c r="B157" s="359" t="s">
        <v>430</v>
      </c>
      <c r="C157" s="755">
        <f>C156+C131</f>
        <v>5398697532</v>
      </c>
      <c r="D157" s="1120">
        <f>D156+D131</f>
        <v>5965459805</v>
      </c>
      <c r="E157" s="763">
        <f>'1. sz.mell. '!C160</f>
        <v>7091060696</v>
      </c>
      <c r="F157" s="263">
        <f>+F131+F156</f>
        <v>1293098712</v>
      </c>
      <c r="G157" s="189">
        <f>+G131+G156</f>
        <v>227256857</v>
      </c>
      <c r="H157" s="189">
        <f>+H131+H156</f>
        <v>1626897847</v>
      </c>
    </row>
    <row r="161" ht="16.5" customHeight="1" x14ac:dyDescent="0.3"/>
  </sheetData>
  <mergeCells count="4">
    <mergeCell ref="A1:E1"/>
    <mergeCell ref="A3:E3"/>
    <mergeCell ref="A5:E5"/>
    <mergeCell ref="A93:E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pageSetUpPr fitToPage="1"/>
  </sheetPr>
  <dimension ref="A1:J45"/>
  <sheetViews>
    <sheetView zoomScale="130" zoomScaleNormal="130" workbookViewId="0">
      <selection activeCell="C8" sqref="C8"/>
    </sheetView>
  </sheetViews>
  <sheetFormatPr defaultRowHeight="13.2" x14ac:dyDescent="0.25"/>
  <cols>
    <col min="1" max="1" width="6.77734375" style="69" customWidth="1"/>
    <col min="2" max="2" width="49.6640625" style="31" customWidth="1"/>
    <col min="3" max="3" width="12.77734375" style="301" customWidth="1"/>
    <col min="4" max="8" width="12.77734375" style="31" customWidth="1"/>
    <col min="9" max="9" width="13.77734375" style="31" customWidth="1"/>
    <col min="10" max="256" width="9.33203125" style="31"/>
    <col min="257" max="257" width="6.77734375" style="31" customWidth="1"/>
    <col min="258" max="258" width="49.6640625" style="31" customWidth="1"/>
    <col min="259" max="264" width="12.77734375" style="31" customWidth="1"/>
    <col min="265" max="265" width="13.77734375" style="31" customWidth="1"/>
    <col min="266" max="512" width="9.33203125" style="31"/>
    <col min="513" max="513" width="6.77734375" style="31" customWidth="1"/>
    <col min="514" max="514" width="49.6640625" style="31" customWidth="1"/>
    <col min="515" max="520" width="12.77734375" style="31" customWidth="1"/>
    <col min="521" max="521" width="13.77734375" style="31" customWidth="1"/>
    <col min="522" max="768" width="9.33203125" style="31"/>
    <col min="769" max="769" width="6.77734375" style="31" customWidth="1"/>
    <col min="770" max="770" width="49.6640625" style="31" customWidth="1"/>
    <col min="771" max="776" width="12.77734375" style="31" customWidth="1"/>
    <col min="777" max="777" width="13.77734375" style="31" customWidth="1"/>
    <col min="778" max="1024" width="9.33203125" style="31"/>
    <col min="1025" max="1025" width="6.77734375" style="31" customWidth="1"/>
    <col min="1026" max="1026" width="49.6640625" style="31" customWidth="1"/>
    <col min="1027" max="1032" width="12.77734375" style="31" customWidth="1"/>
    <col min="1033" max="1033" width="13.77734375" style="31" customWidth="1"/>
    <col min="1034" max="1280" width="9.33203125" style="31"/>
    <col min="1281" max="1281" width="6.77734375" style="31" customWidth="1"/>
    <col min="1282" max="1282" width="49.6640625" style="31" customWidth="1"/>
    <col min="1283" max="1288" width="12.77734375" style="31" customWidth="1"/>
    <col min="1289" max="1289" width="13.77734375" style="31" customWidth="1"/>
    <col min="1290" max="1536" width="9.33203125" style="31"/>
    <col min="1537" max="1537" width="6.77734375" style="31" customWidth="1"/>
    <col min="1538" max="1538" width="49.6640625" style="31" customWidth="1"/>
    <col min="1539" max="1544" width="12.77734375" style="31" customWidth="1"/>
    <col min="1545" max="1545" width="13.77734375" style="31" customWidth="1"/>
    <col min="1546" max="1792" width="9.33203125" style="31"/>
    <col min="1793" max="1793" width="6.77734375" style="31" customWidth="1"/>
    <col min="1794" max="1794" width="49.6640625" style="31" customWidth="1"/>
    <col min="1795" max="1800" width="12.77734375" style="31" customWidth="1"/>
    <col min="1801" max="1801" width="13.77734375" style="31" customWidth="1"/>
    <col min="1802" max="2048" width="9.33203125" style="31"/>
    <col min="2049" max="2049" width="6.77734375" style="31" customWidth="1"/>
    <col min="2050" max="2050" width="49.6640625" style="31" customWidth="1"/>
    <col min="2051" max="2056" width="12.77734375" style="31" customWidth="1"/>
    <col min="2057" max="2057" width="13.77734375" style="31" customWidth="1"/>
    <col min="2058" max="2304" width="9.33203125" style="31"/>
    <col min="2305" max="2305" width="6.77734375" style="31" customWidth="1"/>
    <col min="2306" max="2306" width="49.6640625" style="31" customWidth="1"/>
    <col min="2307" max="2312" width="12.77734375" style="31" customWidth="1"/>
    <col min="2313" max="2313" width="13.77734375" style="31" customWidth="1"/>
    <col min="2314" max="2560" width="9.33203125" style="31"/>
    <col min="2561" max="2561" width="6.77734375" style="31" customWidth="1"/>
    <col min="2562" max="2562" width="49.6640625" style="31" customWidth="1"/>
    <col min="2563" max="2568" width="12.77734375" style="31" customWidth="1"/>
    <col min="2569" max="2569" width="13.77734375" style="31" customWidth="1"/>
    <col min="2570" max="2816" width="9.33203125" style="31"/>
    <col min="2817" max="2817" width="6.77734375" style="31" customWidth="1"/>
    <col min="2818" max="2818" width="49.6640625" style="31" customWidth="1"/>
    <col min="2819" max="2824" width="12.77734375" style="31" customWidth="1"/>
    <col min="2825" max="2825" width="13.77734375" style="31" customWidth="1"/>
    <col min="2826" max="3072" width="9.33203125" style="31"/>
    <col min="3073" max="3073" width="6.77734375" style="31" customWidth="1"/>
    <col min="3074" max="3074" width="49.6640625" style="31" customWidth="1"/>
    <col min="3075" max="3080" width="12.77734375" style="31" customWidth="1"/>
    <col min="3081" max="3081" width="13.77734375" style="31" customWidth="1"/>
    <col min="3082" max="3328" width="9.33203125" style="31"/>
    <col min="3329" max="3329" width="6.77734375" style="31" customWidth="1"/>
    <col min="3330" max="3330" width="49.6640625" style="31" customWidth="1"/>
    <col min="3331" max="3336" width="12.77734375" style="31" customWidth="1"/>
    <col min="3337" max="3337" width="13.77734375" style="31" customWidth="1"/>
    <col min="3338" max="3584" width="9.33203125" style="31"/>
    <col min="3585" max="3585" width="6.77734375" style="31" customWidth="1"/>
    <col min="3586" max="3586" width="49.6640625" style="31" customWidth="1"/>
    <col min="3587" max="3592" width="12.77734375" style="31" customWidth="1"/>
    <col min="3593" max="3593" width="13.77734375" style="31" customWidth="1"/>
    <col min="3594" max="3840" width="9.33203125" style="31"/>
    <col min="3841" max="3841" width="6.77734375" style="31" customWidth="1"/>
    <col min="3842" max="3842" width="49.6640625" style="31" customWidth="1"/>
    <col min="3843" max="3848" width="12.77734375" style="31" customWidth="1"/>
    <col min="3849" max="3849" width="13.77734375" style="31" customWidth="1"/>
    <col min="3850" max="4096" width="9.33203125" style="31"/>
    <col min="4097" max="4097" width="6.77734375" style="31" customWidth="1"/>
    <col min="4098" max="4098" width="49.6640625" style="31" customWidth="1"/>
    <col min="4099" max="4104" width="12.77734375" style="31" customWidth="1"/>
    <col min="4105" max="4105" width="13.77734375" style="31" customWidth="1"/>
    <col min="4106" max="4352" width="9.33203125" style="31"/>
    <col min="4353" max="4353" width="6.77734375" style="31" customWidth="1"/>
    <col min="4354" max="4354" width="49.6640625" style="31" customWidth="1"/>
    <col min="4355" max="4360" width="12.77734375" style="31" customWidth="1"/>
    <col min="4361" max="4361" width="13.77734375" style="31" customWidth="1"/>
    <col min="4362" max="4608" width="9.33203125" style="31"/>
    <col min="4609" max="4609" width="6.77734375" style="31" customWidth="1"/>
    <col min="4610" max="4610" width="49.6640625" style="31" customWidth="1"/>
    <col min="4611" max="4616" width="12.77734375" style="31" customWidth="1"/>
    <col min="4617" max="4617" width="13.77734375" style="31" customWidth="1"/>
    <col min="4618" max="4864" width="9.33203125" style="31"/>
    <col min="4865" max="4865" width="6.77734375" style="31" customWidth="1"/>
    <col min="4866" max="4866" width="49.6640625" style="31" customWidth="1"/>
    <col min="4867" max="4872" width="12.77734375" style="31" customWidth="1"/>
    <col min="4873" max="4873" width="13.77734375" style="31" customWidth="1"/>
    <col min="4874" max="5120" width="9.33203125" style="31"/>
    <col min="5121" max="5121" width="6.77734375" style="31" customWidth="1"/>
    <col min="5122" max="5122" width="49.6640625" style="31" customWidth="1"/>
    <col min="5123" max="5128" width="12.77734375" style="31" customWidth="1"/>
    <col min="5129" max="5129" width="13.77734375" style="31" customWidth="1"/>
    <col min="5130" max="5376" width="9.33203125" style="31"/>
    <col min="5377" max="5377" width="6.77734375" style="31" customWidth="1"/>
    <col min="5378" max="5378" width="49.6640625" style="31" customWidth="1"/>
    <col min="5379" max="5384" width="12.77734375" style="31" customWidth="1"/>
    <col min="5385" max="5385" width="13.77734375" style="31" customWidth="1"/>
    <col min="5386" max="5632" width="9.33203125" style="31"/>
    <col min="5633" max="5633" width="6.77734375" style="31" customWidth="1"/>
    <col min="5634" max="5634" width="49.6640625" style="31" customWidth="1"/>
    <col min="5635" max="5640" width="12.77734375" style="31" customWidth="1"/>
    <col min="5641" max="5641" width="13.77734375" style="31" customWidth="1"/>
    <col min="5642" max="5888" width="9.33203125" style="31"/>
    <col min="5889" max="5889" width="6.77734375" style="31" customWidth="1"/>
    <col min="5890" max="5890" width="49.6640625" style="31" customWidth="1"/>
    <col min="5891" max="5896" width="12.77734375" style="31" customWidth="1"/>
    <col min="5897" max="5897" width="13.77734375" style="31" customWidth="1"/>
    <col min="5898" max="6144" width="9.33203125" style="31"/>
    <col min="6145" max="6145" width="6.77734375" style="31" customWidth="1"/>
    <col min="6146" max="6146" width="49.6640625" style="31" customWidth="1"/>
    <col min="6147" max="6152" width="12.77734375" style="31" customWidth="1"/>
    <col min="6153" max="6153" width="13.77734375" style="31" customWidth="1"/>
    <col min="6154" max="6400" width="9.33203125" style="31"/>
    <col min="6401" max="6401" width="6.77734375" style="31" customWidth="1"/>
    <col min="6402" max="6402" width="49.6640625" style="31" customWidth="1"/>
    <col min="6403" max="6408" width="12.77734375" style="31" customWidth="1"/>
    <col min="6409" max="6409" width="13.77734375" style="31" customWidth="1"/>
    <col min="6410" max="6656" width="9.33203125" style="31"/>
    <col min="6657" max="6657" width="6.77734375" style="31" customWidth="1"/>
    <col min="6658" max="6658" width="49.6640625" style="31" customWidth="1"/>
    <col min="6659" max="6664" width="12.77734375" style="31" customWidth="1"/>
    <col min="6665" max="6665" width="13.77734375" style="31" customWidth="1"/>
    <col min="6666" max="6912" width="9.33203125" style="31"/>
    <col min="6913" max="6913" width="6.77734375" style="31" customWidth="1"/>
    <col min="6914" max="6914" width="49.6640625" style="31" customWidth="1"/>
    <col min="6915" max="6920" width="12.77734375" style="31" customWidth="1"/>
    <col min="6921" max="6921" width="13.77734375" style="31" customWidth="1"/>
    <col min="6922" max="7168" width="9.33203125" style="31"/>
    <col min="7169" max="7169" width="6.77734375" style="31" customWidth="1"/>
    <col min="7170" max="7170" width="49.6640625" style="31" customWidth="1"/>
    <col min="7171" max="7176" width="12.77734375" style="31" customWidth="1"/>
    <col min="7177" max="7177" width="13.77734375" style="31" customWidth="1"/>
    <col min="7178" max="7424" width="9.33203125" style="31"/>
    <col min="7425" max="7425" width="6.77734375" style="31" customWidth="1"/>
    <col min="7426" max="7426" width="49.6640625" style="31" customWidth="1"/>
    <col min="7427" max="7432" width="12.77734375" style="31" customWidth="1"/>
    <col min="7433" max="7433" width="13.77734375" style="31" customWidth="1"/>
    <col min="7434" max="7680" width="9.33203125" style="31"/>
    <col min="7681" max="7681" width="6.77734375" style="31" customWidth="1"/>
    <col min="7682" max="7682" width="49.6640625" style="31" customWidth="1"/>
    <col min="7683" max="7688" width="12.77734375" style="31" customWidth="1"/>
    <col min="7689" max="7689" width="13.77734375" style="31" customWidth="1"/>
    <col min="7690" max="7936" width="9.33203125" style="31"/>
    <col min="7937" max="7937" width="6.77734375" style="31" customWidth="1"/>
    <col min="7938" max="7938" width="49.6640625" style="31" customWidth="1"/>
    <col min="7939" max="7944" width="12.77734375" style="31" customWidth="1"/>
    <col min="7945" max="7945" width="13.77734375" style="31" customWidth="1"/>
    <col min="7946" max="8192" width="9.33203125" style="31"/>
    <col min="8193" max="8193" width="6.77734375" style="31" customWidth="1"/>
    <col min="8194" max="8194" width="49.6640625" style="31" customWidth="1"/>
    <col min="8195" max="8200" width="12.77734375" style="31" customWidth="1"/>
    <col min="8201" max="8201" width="13.77734375" style="31" customWidth="1"/>
    <col min="8202" max="8448" width="9.33203125" style="31"/>
    <col min="8449" max="8449" width="6.77734375" style="31" customWidth="1"/>
    <col min="8450" max="8450" width="49.6640625" style="31" customWidth="1"/>
    <col min="8451" max="8456" width="12.77734375" style="31" customWidth="1"/>
    <col min="8457" max="8457" width="13.77734375" style="31" customWidth="1"/>
    <col min="8458" max="8704" width="9.33203125" style="31"/>
    <col min="8705" max="8705" width="6.77734375" style="31" customWidth="1"/>
    <col min="8706" max="8706" width="49.6640625" style="31" customWidth="1"/>
    <col min="8707" max="8712" width="12.77734375" style="31" customWidth="1"/>
    <col min="8713" max="8713" width="13.77734375" style="31" customWidth="1"/>
    <col min="8714" max="8960" width="9.33203125" style="31"/>
    <col min="8961" max="8961" width="6.77734375" style="31" customWidth="1"/>
    <col min="8962" max="8962" width="49.6640625" style="31" customWidth="1"/>
    <col min="8963" max="8968" width="12.77734375" style="31" customWidth="1"/>
    <col min="8969" max="8969" width="13.77734375" style="31" customWidth="1"/>
    <col min="8970" max="9216" width="9.33203125" style="31"/>
    <col min="9217" max="9217" width="6.77734375" style="31" customWidth="1"/>
    <col min="9218" max="9218" width="49.6640625" style="31" customWidth="1"/>
    <col min="9219" max="9224" width="12.77734375" style="31" customWidth="1"/>
    <col min="9225" max="9225" width="13.77734375" style="31" customWidth="1"/>
    <col min="9226" max="9472" width="9.33203125" style="31"/>
    <col min="9473" max="9473" width="6.77734375" style="31" customWidth="1"/>
    <col min="9474" max="9474" width="49.6640625" style="31" customWidth="1"/>
    <col min="9475" max="9480" width="12.77734375" style="31" customWidth="1"/>
    <col min="9481" max="9481" width="13.77734375" style="31" customWidth="1"/>
    <col min="9482" max="9728" width="9.33203125" style="31"/>
    <col min="9729" max="9729" width="6.77734375" style="31" customWidth="1"/>
    <col min="9730" max="9730" width="49.6640625" style="31" customWidth="1"/>
    <col min="9731" max="9736" width="12.77734375" style="31" customWidth="1"/>
    <col min="9737" max="9737" width="13.77734375" style="31" customWidth="1"/>
    <col min="9738" max="9984" width="9.33203125" style="31"/>
    <col min="9985" max="9985" width="6.77734375" style="31" customWidth="1"/>
    <col min="9986" max="9986" width="49.6640625" style="31" customWidth="1"/>
    <col min="9987" max="9992" width="12.77734375" style="31" customWidth="1"/>
    <col min="9993" max="9993" width="13.77734375" style="31" customWidth="1"/>
    <col min="9994" max="10240" width="9.33203125" style="31"/>
    <col min="10241" max="10241" width="6.77734375" style="31" customWidth="1"/>
    <col min="10242" max="10242" width="49.6640625" style="31" customWidth="1"/>
    <col min="10243" max="10248" width="12.77734375" style="31" customWidth="1"/>
    <col min="10249" max="10249" width="13.77734375" style="31" customWidth="1"/>
    <col min="10250" max="10496" width="9.33203125" style="31"/>
    <col min="10497" max="10497" width="6.77734375" style="31" customWidth="1"/>
    <col min="10498" max="10498" width="49.6640625" style="31" customWidth="1"/>
    <col min="10499" max="10504" width="12.77734375" style="31" customWidth="1"/>
    <col min="10505" max="10505" width="13.77734375" style="31" customWidth="1"/>
    <col min="10506" max="10752" width="9.33203125" style="31"/>
    <col min="10753" max="10753" width="6.77734375" style="31" customWidth="1"/>
    <col min="10754" max="10754" width="49.6640625" style="31" customWidth="1"/>
    <col min="10755" max="10760" width="12.77734375" style="31" customWidth="1"/>
    <col min="10761" max="10761" width="13.77734375" style="31" customWidth="1"/>
    <col min="10762" max="11008" width="9.33203125" style="31"/>
    <col min="11009" max="11009" width="6.77734375" style="31" customWidth="1"/>
    <col min="11010" max="11010" width="49.6640625" style="31" customWidth="1"/>
    <col min="11011" max="11016" width="12.77734375" style="31" customWidth="1"/>
    <col min="11017" max="11017" width="13.77734375" style="31" customWidth="1"/>
    <col min="11018" max="11264" width="9.33203125" style="31"/>
    <col min="11265" max="11265" width="6.77734375" style="31" customWidth="1"/>
    <col min="11266" max="11266" width="49.6640625" style="31" customWidth="1"/>
    <col min="11267" max="11272" width="12.77734375" style="31" customWidth="1"/>
    <col min="11273" max="11273" width="13.77734375" style="31" customWidth="1"/>
    <col min="11274" max="11520" width="9.33203125" style="31"/>
    <col min="11521" max="11521" width="6.77734375" style="31" customWidth="1"/>
    <col min="11522" max="11522" width="49.6640625" style="31" customWidth="1"/>
    <col min="11523" max="11528" width="12.77734375" style="31" customWidth="1"/>
    <col min="11529" max="11529" width="13.77734375" style="31" customWidth="1"/>
    <col min="11530" max="11776" width="9.33203125" style="31"/>
    <col min="11777" max="11777" width="6.77734375" style="31" customWidth="1"/>
    <col min="11778" max="11778" width="49.6640625" style="31" customWidth="1"/>
    <col min="11779" max="11784" width="12.77734375" style="31" customWidth="1"/>
    <col min="11785" max="11785" width="13.77734375" style="31" customWidth="1"/>
    <col min="11786" max="12032" width="9.33203125" style="31"/>
    <col min="12033" max="12033" width="6.77734375" style="31" customWidth="1"/>
    <col min="12034" max="12034" width="49.6640625" style="31" customWidth="1"/>
    <col min="12035" max="12040" width="12.77734375" style="31" customWidth="1"/>
    <col min="12041" max="12041" width="13.77734375" style="31" customWidth="1"/>
    <col min="12042" max="12288" width="9.33203125" style="31"/>
    <col min="12289" max="12289" width="6.77734375" style="31" customWidth="1"/>
    <col min="12290" max="12290" width="49.6640625" style="31" customWidth="1"/>
    <col min="12291" max="12296" width="12.77734375" style="31" customWidth="1"/>
    <col min="12297" max="12297" width="13.77734375" style="31" customWidth="1"/>
    <col min="12298" max="12544" width="9.33203125" style="31"/>
    <col min="12545" max="12545" width="6.77734375" style="31" customWidth="1"/>
    <col min="12546" max="12546" width="49.6640625" style="31" customWidth="1"/>
    <col min="12547" max="12552" width="12.77734375" style="31" customWidth="1"/>
    <col min="12553" max="12553" width="13.77734375" style="31" customWidth="1"/>
    <col min="12554" max="12800" width="9.33203125" style="31"/>
    <col min="12801" max="12801" width="6.77734375" style="31" customWidth="1"/>
    <col min="12802" max="12802" width="49.6640625" style="31" customWidth="1"/>
    <col min="12803" max="12808" width="12.77734375" style="31" customWidth="1"/>
    <col min="12809" max="12809" width="13.77734375" style="31" customWidth="1"/>
    <col min="12810" max="13056" width="9.33203125" style="31"/>
    <col min="13057" max="13057" width="6.77734375" style="31" customWidth="1"/>
    <col min="13058" max="13058" width="49.6640625" style="31" customWidth="1"/>
    <col min="13059" max="13064" width="12.77734375" style="31" customWidth="1"/>
    <col min="13065" max="13065" width="13.77734375" style="31" customWidth="1"/>
    <col min="13066" max="13312" width="9.33203125" style="31"/>
    <col min="13313" max="13313" width="6.77734375" style="31" customWidth="1"/>
    <col min="13314" max="13314" width="49.6640625" style="31" customWidth="1"/>
    <col min="13315" max="13320" width="12.77734375" style="31" customWidth="1"/>
    <col min="13321" max="13321" width="13.77734375" style="31" customWidth="1"/>
    <col min="13322" max="13568" width="9.33203125" style="31"/>
    <col min="13569" max="13569" width="6.77734375" style="31" customWidth="1"/>
    <col min="13570" max="13570" width="49.6640625" style="31" customWidth="1"/>
    <col min="13571" max="13576" width="12.77734375" style="31" customWidth="1"/>
    <col min="13577" max="13577" width="13.77734375" style="31" customWidth="1"/>
    <col min="13578" max="13824" width="9.33203125" style="31"/>
    <col min="13825" max="13825" width="6.77734375" style="31" customWidth="1"/>
    <col min="13826" max="13826" width="49.6640625" style="31" customWidth="1"/>
    <col min="13827" max="13832" width="12.77734375" style="31" customWidth="1"/>
    <col min="13833" max="13833" width="13.77734375" style="31" customWidth="1"/>
    <col min="13834" max="14080" width="9.33203125" style="31"/>
    <col min="14081" max="14081" width="6.77734375" style="31" customWidth="1"/>
    <col min="14082" max="14082" width="49.6640625" style="31" customWidth="1"/>
    <col min="14083" max="14088" width="12.77734375" style="31" customWidth="1"/>
    <col min="14089" max="14089" width="13.77734375" style="31" customWidth="1"/>
    <col min="14090" max="14336" width="9.33203125" style="31"/>
    <col min="14337" max="14337" width="6.77734375" style="31" customWidth="1"/>
    <col min="14338" max="14338" width="49.6640625" style="31" customWidth="1"/>
    <col min="14339" max="14344" width="12.77734375" style="31" customWidth="1"/>
    <col min="14345" max="14345" width="13.77734375" style="31" customWidth="1"/>
    <col min="14346" max="14592" width="9.33203125" style="31"/>
    <col min="14593" max="14593" width="6.77734375" style="31" customWidth="1"/>
    <col min="14594" max="14594" width="49.6640625" style="31" customWidth="1"/>
    <col min="14595" max="14600" width="12.77734375" style="31" customWidth="1"/>
    <col min="14601" max="14601" width="13.77734375" style="31" customWidth="1"/>
    <col min="14602" max="14848" width="9.33203125" style="31"/>
    <col min="14849" max="14849" width="6.77734375" style="31" customWidth="1"/>
    <col min="14850" max="14850" width="49.6640625" style="31" customWidth="1"/>
    <col min="14851" max="14856" width="12.77734375" style="31" customWidth="1"/>
    <col min="14857" max="14857" width="13.77734375" style="31" customWidth="1"/>
    <col min="14858" max="15104" width="9.33203125" style="31"/>
    <col min="15105" max="15105" width="6.77734375" style="31" customWidth="1"/>
    <col min="15106" max="15106" width="49.6640625" style="31" customWidth="1"/>
    <col min="15107" max="15112" width="12.77734375" style="31" customWidth="1"/>
    <col min="15113" max="15113" width="13.77734375" style="31" customWidth="1"/>
    <col min="15114" max="15360" width="9.33203125" style="31"/>
    <col min="15361" max="15361" width="6.77734375" style="31" customWidth="1"/>
    <col min="15362" max="15362" width="49.6640625" style="31" customWidth="1"/>
    <col min="15363" max="15368" width="12.77734375" style="31" customWidth="1"/>
    <col min="15369" max="15369" width="13.77734375" style="31" customWidth="1"/>
    <col min="15370" max="15616" width="9.33203125" style="31"/>
    <col min="15617" max="15617" width="6.77734375" style="31" customWidth="1"/>
    <col min="15618" max="15618" width="49.6640625" style="31" customWidth="1"/>
    <col min="15619" max="15624" width="12.77734375" style="31" customWidth="1"/>
    <col min="15625" max="15625" width="13.77734375" style="31" customWidth="1"/>
    <col min="15626" max="15872" width="9.33203125" style="31"/>
    <col min="15873" max="15873" width="6.77734375" style="31" customWidth="1"/>
    <col min="15874" max="15874" width="49.6640625" style="31" customWidth="1"/>
    <col min="15875" max="15880" width="12.77734375" style="31" customWidth="1"/>
    <col min="15881" max="15881" width="13.77734375" style="31" customWidth="1"/>
    <col min="15882" max="16128" width="9.33203125" style="31"/>
    <col min="16129" max="16129" width="6.77734375" style="31" customWidth="1"/>
    <col min="16130" max="16130" width="49.6640625" style="31" customWidth="1"/>
    <col min="16131" max="16136" width="12.77734375" style="31" customWidth="1"/>
    <col min="16137" max="16137" width="13.77734375" style="31" customWidth="1"/>
    <col min="16138" max="16384" width="9.33203125" style="31"/>
  </cols>
  <sheetData>
    <row r="1" spans="1:9" x14ac:dyDescent="0.25">
      <c r="A1" s="1377" t="str">
        <f>CONCATENATE("37. melléklet ",ALAPADATOK!A7," ",ALAPADATOK!B7," ",ALAPADATOK!C7," ",ALAPADATOK!D7," ",ALAPADATOK!E7," ",ALAPADATOK!F7," ",ALAPADATOK!G7," ",ALAPADATOK!H7)</f>
        <v>37. melléklet a …. / 2024. ( .... ) önkormányzati rendelethez</v>
      </c>
      <c r="B1" s="1377"/>
      <c r="C1" s="1377"/>
      <c r="D1" s="1377"/>
      <c r="E1" s="1377"/>
      <c r="F1" s="1377"/>
      <c r="G1" s="1377"/>
      <c r="H1" s="1377"/>
      <c r="I1" s="1377"/>
    </row>
    <row r="2" spans="1:9" x14ac:dyDescent="0.25">
      <c r="G2" s="1377" t="s">
        <v>917</v>
      </c>
      <c r="H2" s="1377"/>
      <c r="I2" s="1377"/>
    </row>
    <row r="3" spans="1:9" ht="27.75" customHeight="1" x14ac:dyDescent="0.25">
      <c r="A3" s="1378" t="s">
        <v>7</v>
      </c>
      <c r="B3" s="1378"/>
      <c r="C3" s="1378"/>
      <c r="D3" s="1378"/>
      <c r="E3" s="1378"/>
      <c r="F3" s="1378"/>
      <c r="G3" s="1378"/>
      <c r="H3" s="1378"/>
      <c r="I3" s="1378"/>
    </row>
    <row r="4" spans="1:9" ht="20.25" customHeight="1" thickBot="1" x14ac:dyDescent="0.35">
      <c r="B4" s="218"/>
      <c r="I4" s="219" t="s">
        <v>491</v>
      </c>
    </row>
    <row r="5" spans="1:9" s="220" customFormat="1" ht="22.65" customHeight="1" x14ac:dyDescent="0.25">
      <c r="A5" s="1379" t="s">
        <v>63</v>
      </c>
      <c r="B5" s="1381" t="s">
        <v>71</v>
      </c>
      <c r="C5" s="1379" t="s">
        <v>72</v>
      </c>
      <c r="D5" s="1379" t="s">
        <v>1027</v>
      </c>
      <c r="E5" s="1383" t="s">
        <v>62</v>
      </c>
      <c r="F5" s="1384"/>
      <c r="G5" s="1384"/>
      <c r="H5" s="1385"/>
      <c r="I5" s="1381" t="s">
        <v>48</v>
      </c>
    </row>
    <row r="6" spans="1:9" s="221" customFormat="1" ht="17.399999999999999" customHeight="1" thickBot="1" x14ac:dyDescent="0.3">
      <c r="A6" s="1380"/>
      <c r="B6" s="1382"/>
      <c r="C6" s="1382"/>
      <c r="D6" s="1380"/>
      <c r="E6" s="648">
        <v>2024</v>
      </c>
      <c r="F6" s="648">
        <v>2025</v>
      </c>
      <c r="G6" s="648">
        <v>2026</v>
      </c>
      <c r="H6" s="649" t="s">
        <v>1040</v>
      </c>
      <c r="I6" s="1382"/>
    </row>
    <row r="7" spans="1:9" s="222" customFormat="1" ht="18" customHeight="1" thickBot="1" x14ac:dyDescent="0.3">
      <c r="A7" s="650">
        <v>1</v>
      </c>
      <c r="B7" s="651">
        <v>2</v>
      </c>
      <c r="C7" s="652">
        <v>3</v>
      </c>
      <c r="D7" s="653">
        <v>4</v>
      </c>
      <c r="E7" s="650">
        <v>5</v>
      </c>
      <c r="F7" s="654">
        <v>6</v>
      </c>
      <c r="G7" s="654">
        <v>7</v>
      </c>
      <c r="H7" s="655">
        <v>8</v>
      </c>
      <c r="I7" s="656" t="s">
        <v>73</v>
      </c>
    </row>
    <row r="8" spans="1:9" ht="24.75" customHeight="1" thickBot="1" x14ac:dyDescent="0.3">
      <c r="A8" s="657" t="s">
        <v>16</v>
      </c>
      <c r="B8" s="658" t="s">
        <v>685</v>
      </c>
      <c r="C8" s="960">
        <v>0</v>
      </c>
      <c r="D8" s="659">
        <v>0</v>
      </c>
      <c r="E8" s="659">
        <v>0</v>
      </c>
      <c r="F8" s="659">
        <v>0</v>
      </c>
      <c r="G8" s="659">
        <v>0</v>
      </c>
      <c r="H8" s="659">
        <v>0</v>
      </c>
      <c r="I8" s="660">
        <v>0</v>
      </c>
    </row>
    <row r="9" spans="1:9" ht="24.75" customHeight="1" thickBot="1" x14ac:dyDescent="0.3">
      <c r="A9" s="661" t="s">
        <v>17</v>
      </c>
      <c r="B9" s="662" t="s">
        <v>1028</v>
      </c>
      <c r="C9" s="663">
        <v>2024</v>
      </c>
      <c r="D9" s="664">
        <v>0</v>
      </c>
      <c r="E9" s="664">
        <v>0</v>
      </c>
      <c r="F9" s="664">
        <v>0</v>
      </c>
      <c r="G9" s="664">
        <v>0</v>
      </c>
      <c r="H9" s="664">
        <v>0</v>
      </c>
      <c r="I9" s="660">
        <v>0</v>
      </c>
    </row>
    <row r="10" spans="1:9" ht="24" customHeight="1" thickBot="1" x14ac:dyDescent="0.3">
      <c r="A10" s="665" t="s">
        <v>18</v>
      </c>
      <c r="B10" s="666" t="s">
        <v>8</v>
      </c>
      <c r="C10" s="667"/>
      <c r="D10" s="668"/>
      <c r="E10" s="668"/>
      <c r="F10" s="668"/>
      <c r="G10" s="668"/>
      <c r="H10" s="669"/>
      <c r="I10" s="670"/>
    </row>
    <row r="11" spans="1:9" ht="20.399999999999999" x14ac:dyDescent="0.2">
      <c r="A11" s="671" t="s">
        <v>19</v>
      </c>
      <c r="B11" s="610" t="s">
        <v>492</v>
      </c>
      <c r="C11" s="672">
        <v>2016</v>
      </c>
      <c r="D11" s="673">
        <v>8464000</v>
      </c>
      <c r="E11" s="674">
        <v>1839000</v>
      </c>
      <c r="F11" s="674">
        <v>0</v>
      </c>
      <c r="G11" s="674">
        <v>0</v>
      </c>
      <c r="H11" s="675">
        <v>0</v>
      </c>
      <c r="I11" s="676">
        <f t="shared" ref="I11:I17" si="0">SUM(D11:H11)</f>
        <v>10303000</v>
      </c>
    </row>
    <row r="12" spans="1:9" x14ac:dyDescent="0.2">
      <c r="A12" s="671" t="s">
        <v>20</v>
      </c>
      <c r="B12" s="610" t="s">
        <v>686</v>
      </c>
      <c r="C12" s="672">
        <v>2017</v>
      </c>
      <c r="D12" s="673">
        <f>14820000+4940000</f>
        <v>19760000</v>
      </c>
      <c r="E12" s="673">
        <v>4940000</v>
      </c>
      <c r="F12" s="673">
        <v>4940000</v>
      </c>
      <c r="G12" s="673">
        <v>4940000</v>
      </c>
      <c r="H12" s="673">
        <f>11461155-4940000</f>
        <v>6521155</v>
      </c>
      <c r="I12" s="676">
        <f t="shared" si="0"/>
        <v>41101155</v>
      </c>
    </row>
    <row r="13" spans="1:9" x14ac:dyDescent="0.2">
      <c r="A13" s="671" t="s">
        <v>21</v>
      </c>
      <c r="B13" s="610" t="s">
        <v>499</v>
      </c>
      <c r="C13" s="672">
        <v>2018</v>
      </c>
      <c r="D13" s="673">
        <f>5503512+1834504</f>
        <v>7338016</v>
      </c>
      <c r="E13" s="673">
        <v>1704746</v>
      </c>
      <c r="F13" s="673">
        <v>0</v>
      </c>
      <c r="G13" s="674">
        <v>0</v>
      </c>
      <c r="H13" s="673">
        <v>0</v>
      </c>
      <c r="I13" s="676">
        <f>SUM(D13:H13)</f>
        <v>9042762</v>
      </c>
    </row>
    <row r="14" spans="1:9" x14ac:dyDescent="0.2">
      <c r="A14" s="671" t="s">
        <v>22</v>
      </c>
      <c r="B14" s="610" t="s">
        <v>498</v>
      </c>
      <c r="C14" s="672">
        <v>2018</v>
      </c>
      <c r="D14" s="611">
        <f>4170000+1668000+1668000</f>
        <v>7506000</v>
      </c>
      <c r="E14" s="674">
        <v>1668000</v>
      </c>
      <c r="F14" s="674">
        <v>721526</v>
      </c>
      <c r="G14" s="674">
        <v>0</v>
      </c>
      <c r="H14" s="673">
        <v>0</v>
      </c>
      <c r="I14" s="676">
        <f t="shared" si="0"/>
        <v>9895526</v>
      </c>
    </row>
    <row r="15" spans="1:9" x14ac:dyDescent="0.25">
      <c r="A15" s="671" t="s">
        <v>23</v>
      </c>
      <c r="B15" s="677" t="s">
        <v>572</v>
      </c>
      <c r="C15" s="678">
        <v>2018</v>
      </c>
      <c r="D15" s="679">
        <f>5555200+2777600+2777600</f>
        <v>11110400</v>
      </c>
      <c r="E15" s="679">
        <v>2777600</v>
      </c>
      <c r="F15" s="679">
        <v>2777600</v>
      </c>
      <c r="G15" s="679">
        <v>2777600</v>
      </c>
      <c r="H15" s="679">
        <f>11112000-2777600-2777600</f>
        <v>5556800</v>
      </c>
      <c r="I15" s="676">
        <f t="shared" si="0"/>
        <v>25000000</v>
      </c>
    </row>
    <row r="16" spans="1:9" x14ac:dyDescent="0.25">
      <c r="A16" s="671" t="s">
        <v>24</v>
      </c>
      <c r="B16" s="683" t="s">
        <v>574</v>
      </c>
      <c r="C16" s="672">
        <v>2019</v>
      </c>
      <c r="D16" s="673">
        <f>4500000+3600000+3600000</f>
        <v>11700000</v>
      </c>
      <c r="E16" s="673">
        <v>3600000</v>
      </c>
      <c r="F16" s="673">
        <v>2009597</v>
      </c>
      <c r="G16" s="673">
        <v>0</v>
      </c>
      <c r="H16" s="673">
        <v>0</v>
      </c>
      <c r="I16" s="684">
        <f>SUM(D16:H16)</f>
        <v>17309597</v>
      </c>
    </row>
    <row r="17" spans="1:10" x14ac:dyDescent="0.25">
      <c r="A17" s="671" t="s">
        <v>25</v>
      </c>
      <c r="B17" s="680" t="s">
        <v>573</v>
      </c>
      <c r="C17" s="681">
        <v>2019</v>
      </c>
      <c r="D17" s="682">
        <f>1524000+1016000+1016000</f>
        <v>3556000</v>
      </c>
      <c r="E17" s="682">
        <v>453644</v>
      </c>
      <c r="F17" s="682">
        <v>0</v>
      </c>
      <c r="G17" s="682">
        <v>0</v>
      </c>
      <c r="H17" s="682">
        <v>0</v>
      </c>
      <c r="I17" s="676">
        <f t="shared" si="0"/>
        <v>4009644</v>
      </c>
    </row>
    <row r="18" spans="1:10" x14ac:dyDescent="0.25">
      <c r="A18" s="671" t="s">
        <v>26</v>
      </c>
      <c r="B18" s="791" t="s">
        <v>809</v>
      </c>
      <c r="C18" s="672">
        <v>2020</v>
      </c>
      <c r="D18" s="673">
        <f>2300740+2300740</f>
        <v>4601480</v>
      </c>
      <c r="E18" s="673">
        <v>2300740</v>
      </c>
      <c r="F18" s="673">
        <v>2300740</v>
      </c>
      <c r="G18" s="673">
        <v>2299821</v>
      </c>
      <c r="H18" s="673">
        <v>0</v>
      </c>
      <c r="I18" s="684">
        <f>SUM(D18:H18)</f>
        <v>11502781</v>
      </c>
      <c r="J18" s="223"/>
    </row>
    <row r="19" spans="1:10" x14ac:dyDescent="0.25">
      <c r="A19" s="671" t="s">
        <v>27</v>
      </c>
      <c r="B19" s="791" t="s">
        <v>820</v>
      </c>
      <c r="C19" s="672">
        <v>2021</v>
      </c>
      <c r="D19" s="673">
        <v>1568600</v>
      </c>
      <c r="E19" s="673">
        <v>1568600</v>
      </c>
      <c r="F19" s="673">
        <v>1568600</v>
      </c>
      <c r="G19" s="673">
        <v>1568600</v>
      </c>
      <c r="H19" s="673">
        <f>2352954-1568600</f>
        <v>784354</v>
      </c>
      <c r="I19" s="684">
        <f>SUM(D19:H19)</f>
        <v>7058754</v>
      </c>
    </row>
    <row r="20" spans="1:10" ht="13.8" thickBot="1" x14ac:dyDescent="0.3">
      <c r="A20" s="961" t="s">
        <v>28</v>
      </c>
      <c r="B20" s="959" t="s">
        <v>881</v>
      </c>
      <c r="C20" s="681">
        <v>2021</v>
      </c>
      <c r="D20" s="682">
        <v>0</v>
      </c>
      <c r="E20" s="682">
        <v>12250000</v>
      </c>
      <c r="F20" s="682">
        <v>12250000</v>
      </c>
      <c r="G20" s="682">
        <v>12250000</v>
      </c>
      <c r="H20" s="682">
        <v>73547740</v>
      </c>
      <c r="I20" s="1043">
        <f>SUM(D20:H20)</f>
        <v>110297740</v>
      </c>
    </row>
    <row r="21" spans="1:10" ht="13.8" thickBot="1" x14ac:dyDescent="0.3">
      <c r="A21" s="1375" t="s">
        <v>49</v>
      </c>
      <c r="B21" s="1376"/>
      <c r="C21" s="685"/>
      <c r="D21" s="670">
        <f t="shared" ref="D21:I21" si="1">SUM(D11:D20)</f>
        <v>75604496</v>
      </c>
      <c r="E21" s="670">
        <f t="shared" si="1"/>
        <v>33102330</v>
      </c>
      <c r="F21" s="670">
        <f t="shared" si="1"/>
        <v>26568063</v>
      </c>
      <c r="G21" s="670">
        <f t="shared" si="1"/>
        <v>23836021</v>
      </c>
      <c r="H21" s="670">
        <f t="shared" si="1"/>
        <v>86410049</v>
      </c>
      <c r="I21" s="670">
        <f t="shared" si="1"/>
        <v>245520959</v>
      </c>
    </row>
    <row r="22" spans="1:10" ht="13.8" x14ac:dyDescent="0.25">
      <c r="B22" s="525" t="s">
        <v>810</v>
      </c>
      <c r="C22" s="525"/>
      <c r="D22" s="525"/>
      <c r="E22" s="525"/>
      <c r="F22" s="525"/>
      <c r="G22" s="525"/>
      <c r="H22" s="525"/>
    </row>
    <row r="24" spans="1:10" ht="15.6" x14ac:dyDescent="0.25">
      <c r="B24" s="381"/>
    </row>
    <row r="25" spans="1:10" ht="15.6" x14ac:dyDescent="0.25">
      <c r="B25" s="524"/>
      <c r="C25" s="526"/>
      <c r="D25" s="224"/>
      <c r="E25" s="224"/>
      <c r="F25" s="224"/>
      <c r="G25" s="224"/>
      <c r="H25" s="224"/>
    </row>
    <row r="26" spans="1:10" x14ac:dyDescent="0.25">
      <c r="B26" s="224"/>
      <c r="C26" s="527"/>
    </row>
    <row r="27" spans="1:10" x14ac:dyDescent="0.25">
      <c r="B27" s="224"/>
      <c r="C27" s="527"/>
    </row>
    <row r="28" spans="1:10" x14ac:dyDescent="0.25">
      <c r="B28" s="224"/>
      <c r="C28" s="528"/>
    </row>
    <row r="29" spans="1:10" x14ac:dyDescent="0.25">
      <c r="B29" s="697"/>
      <c r="C29" s="527"/>
    </row>
    <row r="30" spans="1:10" x14ac:dyDescent="0.25">
      <c r="B30" s="224"/>
      <c r="C30" s="527"/>
    </row>
    <row r="31" spans="1:10" x14ac:dyDescent="0.25">
      <c r="B31" s="224"/>
      <c r="C31" s="527"/>
    </row>
    <row r="32" spans="1:10" x14ac:dyDescent="0.25">
      <c r="B32" s="224"/>
      <c r="C32" s="527"/>
    </row>
    <row r="33" spans="2:4" x14ac:dyDescent="0.25">
      <c r="B33" s="224"/>
      <c r="C33" s="527"/>
    </row>
    <row r="34" spans="2:4" x14ac:dyDescent="0.25">
      <c r="B34" s="224"/>
      <c r="C34" s="527"/>
    </row>
    <row r="35" spans="2:4" ht="17.399999999999999" customHeight="1" x14ac:dyDescent="0.25">
      <c r="B35" s="225"/>
      <c r="C35" s="528"/>
    </row>
    <row r="36" spans="2:4" x14ac:dyDescent="0.25">
      <c r="B36" s="224"/>
    </row>
    <row r="37" spans="2:4" x14ac:dyDescent="0.25">
      <c r="B37" s="226"/>
      <c r="C37" s="528"/>
    </row>
    <row r="38" spans="2:4" x14ac:dyDescent="0.25">
      <c r="C38" s="527"/>
      <c r="D38" s="69"/>
    </row>
    <row r="39" spans="2:4" x14ac:dyDescent="0.25">
      <c r="C39" s="527"/>
      <c r="D39" s="69"/>
    </row>
    <row r="40" spans="2:4" x14ac:dyDescent="0.25">
      <c r="C40" s="527"/>
      <c r="D40" s="69"/>
    </row>
    <row r="42" spans="2:4" x14ac:dyDescent="0.25">
      <c r="B42" s="226"/>
      <c r="C42" s="528"/>
    </row>
    <row r="43" spans="2:4" x14ac:dyDescent="0.25">
      <c r="D43" s="69"/>
    </row>
    <row r="44" spans="2:4" x14ac:dyDescent="0.25">
      <c r="D44" s="69"/>
    </row>
    <row r="45" spans="2:4" x14ac:dyDescent="0.25">
      <c r="D45" s="69"/>
    </row>
  </sheetData>
  <mergeCells count="10">
    <mergeCell ref="A21:B21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topLeftCell="C1" zoomScaleSheetLayoutView="100" workbookViewId="0">
      <selection activeCell="D1" sqref="D1:I1048576"/>
    </sheetView>
  </sheetViews>
  <sheetFormatPr defaultColWidth="9.33203125" defaultRowHeight="15.6" x14ac:dyDescent="0.3"/>
  <cols>
    <col min="1" max="1" width="9.44140625" style="167" customWidth="1"/>
    <col min="2" max="2" width="91.6640625" style="167" customWidth="1"/>
    <col min="3" max="3" width="21.6640625" style="280" customWidth="1"/>
    <col min="4" max="4" width="19.33203125" style="167" hidden="1" customWidth="1"/>
    <col min="5" max="8" width="15.77734375" style="167" hidden="1" customWidth="1"/>
    <col min="9" max="9" width="15.33203125" style="167" hidden="1" customWidth="1"/>
    <col min="10" max="12" width="9.33203125" style="167" customWidth="1"/>
    <col min="13" max="16384" width="9.33203125" style="167"/>
  </cols>
  <sheetData>
    <row r="1" spans="1:9" x14ac:dyDescent="0.3">
      <c r="A1" s="1281" t="str">
        <f>CONCATENATE("3. melléklet"," ",ALAPADATOK!A7," ",ALAPADATOK!B7," ",ALAPADATOK!C7," ",ALAPADATOK!D7," ",ALAPADATOK!E7," ",ALAPADATOK!F7," ",ALAPADATOK!G7," ",ALAPADATOK!H7)</f>
        <v>3. melléklet a …. / 2024. ( .... ) önkormányzati rendelethez</v>
      </c>
      <c r="B1" s="1281"/>
      <c r="C1" s="1281"/>
    </row>
    <row r="2" spans="1:9" x14ac:dyDescent="0.3">
      <c r="A2" s="583"/>
      <c r="B2" s="583"/>
      <c r="C2" s="583"/>
    </row>
    <row r="3" spans="1:9" x14ac:dyDescent="0.3">
      <c r="A3" s="1280" t="str">
        <f>CONCATENATE(ALAPADATOK!A3)</f>
        <v>Tiszavasvári Város Önkormányzat</v>
      </c>
      <c r="B3" s="1280"/>
      <c r="C3" s="1280"/>
    </row>
    <row r="4" spans="1:9" x14ac:dyDescent="0.3">
      <c r="A4" s="1279" t="str">
        <f>CONCATENATE(ALAPADATOK!D7," ÉVI KÖLTSÉGVETÉS")</f>
        <v>2024. ÉVI KÖLTSÉGVETÉS</v>
      </c>
      <c r="B4" s="1279"/>
      <c r="C4" s="1279"/>
    </row>
    <row r="5" spans="1:9" x14ac:dyDescent="0.3">
      <c r="A5" s="1279" t="s">
        <v>659</v>
      </c>
      <c r="B5" s="1279"/>
      <c r="C5" s="1279"/>
    </row>
    <row r="7" spans="1:9" ht="15.9" customHeight="1" x14ac:dyDescent="0.3">
      <c r="A7" s="1283" t="s">
        <v>13</v>
      </c>
      <c r="B7" s="1283"/>
      <c r="C7" s="1283"/>
    </row>
    <row r="8" spans="1:9" ht="15.9" customHeight="1" thickBot="1" x14ac:dyDescent="0.35">
      <c r="A8" s="1285"/>
      <c r="B8" s="1285"/>
      <c r="C8" s="119" t="s">
        <v>483</v>
      </c>
    </row>
    <row r="9" spans="1:9" ht="38.1" customHeight="1" thickBot="1" x14ac:dyDescent="0.35">
      <c r="A9" s="20" t="s">
        <v>63</v>
      </c>
      <c r="B9" s="21" t="s">
        <v>15</v>
      </c>
      <c r="C9" s="29" t="s">
        <v>1010</v>
      </c>
      <c r="D9" s="167" t="s">
        <v>487</v>
      </c>
      <c r="E9" s="167" t="s">
        <v>488</v>
      </c>
      <c r="F9" s="167" t="s">
        <v>887</v>
      </c>
      <c r="G9" s="167" t="s">
        <v>888</v>
      </c>
      <c r="H9" s="167" t="s">
        <v>889</v>
      </c>
      <c r="I9" s="167" t="s">
        <v>890</v>
      </c>
    </row>
    <row r="10" spans="1:9" s="178" customFormat="1" ht="12.15" customHeight="1" thickBot="1" x14ac:dyDescent="0.25">
      <c r="A10" s="173" t="s">
        <v>382</v>
      </c>
      <c r="B10" s="174" t="s">
        <v>383</v>
      </c>
      <c r="C10" s="175" t="s">
        <v>384</v>
      </c>
    </row>
    <row r="11" spans="1:9" s="179" customFormat="1" ht="12.15" customHeight="1" thickBot="1" x14ac:dyDescent="0.3">
      <c r="A11" s="17" t="s">
        <v>16</v>
      </c>
      <c r="B11" s="18" t="s">
        <v>179</v>
      </c>
      <c r="C11" s="110">
        <f t="shared" ref="C11:C42" si="0">SUM(D11:I11)</f>
        <v>497232119</v>
      </c>
      <c r="D11" s="255">
        <f t="shared" ref="D11:I11" si="1">+D12+D13+D14+D17+D18+D19</f>
        <v>497232119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.15" customHeight="1" x14ac:dyDescent="0.25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</row>
    <row r="13" spans="1:9" s="179" customFormat="1" ht="12.15" customHeight="1" x14ac:dyDescent="0.25">
      <c r="A13" s="11" t="s">
        <v>86</v>
      </c>
      <c r="B13" s="181" t="s">
        <v>181</v>
      </c>
      <c r="C13" s="277">
        <f t="shared" si="0"/>
        <v>0</v>
      </c>
      <c r="D13" s="114"/>
      <c r="E13" s="114"/>
      <c r="F13" s="114"/>
      <c r="G13" s="114"/>
      <c r="H13" s="114"/>
      <c r="I13" s="114"/>
    </row>
    <row r="14" spans="1:9" s="179" customFormat="1" ht="12.15" customHeight="1" x14ac:dyDescent="0.25">
      <c r="A14" s="11" t="s">
        <v>87</v>
      </c>
      <c r="B14" s="181" t="s">
        <v>696</v>
      </c>
      <c r="C14" s="274">
        <f t="shared" si="0"/>
        <v>497232119</v>
      </c>
      <c r="D14" s="114">
        <f t="shared" ref="D14:H14" si="2">SUM(D15:D16)</f>
        <v>497232119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ref="I14" si="3">SUM(I15:I16)</f>
        <v>0</v>
      </c>
    </row>
    <row r="15" spans="1:9" s="179" customFormat="1" ht="12.15" customHeight="1" x14ac:dyDescent="0.25">
      <c r="A15" s="11" t="s">
        <v>694</v>
      </c>
      <c r="B15" s="181" t="s">
        <v>697</v>
      </c>
      <c r="C15" s="274">
        <f t="shared" si="0"/>
        <v>497232119</v>
      </c>
      <c r="D15" s="114">
        <v>497232119</v>
      </c>
      <c r="E15" s="114"/>
      <c r="F15" s="114"/>
      <c r="G15" s="114"/>
      <c r="H15" s="114"/>
      <c r="I15" s="114"/>
    </row>
    <row r="16" spans="1:9" s="179" customFormat="1" ht="12.15" customHeight="1" x14ac:dyDescent="0.25">
      <c r="A16" s="11" t="s">
        <v>695</v>
      </c>
      <c r="B16" s="181" t="s">
        <v>698</v>
      </c>
      <c r="C16" s="277">
        <f t="shared" si="0"/>
        <v>0</v>
      </c>
      <c r="D16" s="114"/>
      <c r="E16" s="114"/>
      <c r="F16" s="114"/>
      <c r="G16" s="114"/>
      <c r="H16" s="114"/>
      <c r="I16" s="114"/>
    </row>
    <row r="17" spans="1:9" s="179" customFormat="1" ht="12.15" customHeight="1" x14ac:dyDescent="0.25">
      <c r="A17" s="11" t="s">
        <v>88</v>
      </c>
      <c r="B17" s="181" t="s">
        <v>183</v>
      </c>
      <c r="C17" s="277">
        <f t="shared" si="0"/>
        <v>0</v>
      </c>
      <c r="D17" s="114"/>
      <c r="E17" s="114"/>
      <c r="F17" s="114"/>
      <c r="G17" s="114"/>
      <c r="H17" s="114"/>
      <c r="I17" s="114"/>
    </row>
    <row r="18" spans="1:9" s="179" customFormat="1" ht="12.15" customHeight="1" x14ac:dyDescent="0.25">
      <c r="A18" s="11" t="s">
        <v>111</v>
      </c>
      <c r="B18" s="106" t="s">
        <v>385</v>
      </c>
      <c r="C18" s="277">
        <f t="shared" si="0"/>
        <v>0</v>
      </c>
      <c r="D18" s="114"/>
      <c r="E18" s="114"/>
      <c r="F18" s="114"/>
      <c r="G18" s="114"/>
      <c r="H18" s="114"/>
      <c r="I18" s="114"/>
    </row>
    <row r="19" spans="1:9" s="179" customFormat="1" ht="12.15" customHeight="1" thickBot="1" x14ac:dyDescent="0.3">
      <c r="A19" s="13" t="s">
        <v>89</v>
      </c>
      <c r="B19" s="107" t="s">
        <v>386</v>
      </c>
      <c r="C19" s="278">
        <f t="shared" si="0"/>
        <v>0</v>
      </c>
      <c r="D19" s="99"/>
      <c r="E19" s="111"/>
      <c r="F19" s="111"/>
      <c r="G19" s="111"/>
      <c r="H19" s="111"/>
      <c r="I19" s="111"/>
    </row>
    <row r="20" spans="1:9" s="179" customFormat="1" ht="12.15" customHeight="1" thickBot="1" x14ac:dyDescent="0.3">
      <c r="A20" s="17" t="s">
        <v>17</v>
      </c>
      <c r="B20" s="105" t="s">
        <v>184</v>
      </c>
      <c r="C20" s="110">
        <f t="shared" si="0"/>
        <v>492771952</v>
      </c>
      <c r="D20" s="255">
        <f t="shared" ref="D20:I20" si="4">+D21+D22+D23+D24+D25</f>
        <v>254622952</v>
      </c>
      <c r="E20" s="110">
        <f t="shared" si="4"/>
        <v>0</v>
      </c>
      <c r="F20" s="110">
        <f t="shared" si="4"/>
        <v>0</v>
      </c>
      <c r="G20" s="110">
        <f t="shared" si="4"/>
        <v>0</v>
      </c>
      <c r="H20" s="110">
        <f t="shared" si="4"/>
        <v>0</v>
      </c>
      <c r="I20" s="110">
        <f t="shared" si="4"/>
        <v>238149000</v>
      </c>
    </row>
    <row r="21" spans="1:9" s="179" customFormat="1" ht="12.15" customHeight="1" x14ac:dyDescent="0.25">
      <c r="A21" s="12" t="s">
        <v>91</v>
      </c>
      <c r="B21" s="180" t="s">
        <v>185</v>
      </c>
      <c r="C21" s="176">
        <f t="shared" si="0"/>
        <v>0</v>
      </c>
      <c r="D21" s="256"/>
      <c r="E21" s="112"/>
      <c r="F21" s="112"/>
      <c r="G21" s="112"/>
      <c r="H21" s="112"/>
      <c r="I21" s="112"/>
    </row>
    <row r="22" spans="1:9" s="179" customFormat="1" ht="12.15" customHeight="1" x14ac:dyDescent="0.25">
      <c r="A22" s="11" t="s">
        <v>92</v>
      </c>
      <c r="B22" s="181" t="s">
        <v>186</v>
      </c>
      <c r="C22" s="277">
        <f t="shared" si="0"/>
        <v>0</v>
      </c>
      <c r="D22" s="99"/>
      <c r="E22" s="111"/>
      <c r="F22" s="111"/>
      <c r="G22" s="111"/>
      <c r="H22" s="111"/>
      <c r="I22" s="111"/>
    </row>
    <row r="23" spans="1:9" s="179" customFormat="1" ht="12.15" customHeight="1" x14ac:dyDescent="0.25">
      <c r="A23" s="11" t="s">
        <v>93</v>
      </c>
      <c r="B23" s="181" t="s">
        <v>352</v>
      </c>
      <c r="C23" s="277">
        <f t="shared" si="0"/>
        <v>0</v>
      </c>
      <c r="D23" s="99"/>
      <c r="E23" s="111"/>
      <c r="F23" s="111"/>
      <c r="G23" s="111"/>
      <c r="H23" s="111"/>
      <c r="I23" s="111"/>
    </row>
    <row r="24" spans="1:9" s="179" customFormat="1" ht="12.15" customHeight="1" x14ac:dyDescent="0.25">
      <c r="A24" s="11" t="s">
        <v>94</v>
      </c>
      <c r="B24" s="181" t="s">
        <v>353</v>
      </c>
      <c r="C24" s="277">
        <f t="shared" si="0"/>
        <v>0</v>
      </c>
      <c r="D24" s="99"/>
      <c r="E24" s="111"/>
      <c r="F24" s="111"/>
      <c r="G24" s="111"/>
      <c r="H24" s="111"/>
      <c r="I24" s="111"/>
    </row>
    <row r="25" spans="1:9" s="179" customFormat="1" ht="12.15" customHeight="1" x14ac:dyDescent="0.25">
      <c r="A25" s="11" t="s">
        <v>95</v>
      </c>
      <c r="B25" s="181" t="s">
        <v>187</v>
      </c>
      <c r="C25" s="628">
        <f t="shared" si="0"/>
        <v>492771952</v>
      </c>
      <c r="D25" s="246">
        <f>232125892+22497060</f>
        <v>254622952</v>
      </c>
      <c r="E25" s="114"/>
      <c r="F25" s="114"/>
      <c r="G25" s="114"/>
      <c r="H25" s="114"/>
      <c r="I25" s="114">
        <v>238149000</v>
      </c>
    </row>
    <row r="26" spans="1:9" s="179" customFormat="1" ht="12.15" customHeight="1" thickBot="1" x14ac:dyDescent="0.3">
      <c r="A26" s="13" t="s">
        <v>104</v>
      </c>
      <c r="B26" s="107" t="s">
        <v>188</v>
      </c>
      <c r="C26" s="631">
        <f t="shared" si="0"/>
        <v>25732805</v>
      </c>
      <c r="D26" s="249"/>
      <c r="E26" s="170"/>
      <c r="F26" s="170"/>
      <c r="G26" s="170"/>
      <c r="H26" s="170"/>
      <c r="I26" s="170">
        <v>25732805</v>
      </c>
    </row>
    <row r="27" spans="1:9" s="179" customFormat="1" ht="12.15" customHeight="1" thickBot="1" x14ac:dyDescent="0.3">
      <c r="A27" s="17" t="s">
        <v>18</v>
      </c>
      <c r="B27" s="18" t="s">
        <v>189</v>
      </c>
      <c r="C27" s="110">
        <f t="shared" si="0"/>
        <v>0</v>
      </c>
      <c r="D27" s="255">
        <f t="shared" ref="D27:I27" si="5">+D28+D29+D30+D31+D32</f>
        <v>0</v>
      </c>
      <c r="E27" s="110">
        <f t="shared" si="5"/>
        <v>0</v>
      </c>
      <c r="F27" s="110">
        <f t="shared" si="5"/>
        <v>0</v>
      </c>
      <c r="G27" s="110">
        <f t="shared" si="5"/>
        <v>0</v>
      </c>
      <c r="H27" s="110">
        <f t="shared" si="5"/>
        <v>0</v>
      </c>
      <c r="I27" s="110">
        <f t="shared" si="5"/>
        <v>0</v>
      </c>
    </row>
    <row r="28" spans="1:9" s="179" customFormat="1" ht="12.15" customHeight="1" x14ac:dyDescent="0.25">
      <c r="A28" s="12" t="s">
        <v>74</v>
      </c>
      <c r="B28" s="180" t="s">
        <v>190</v>
      </c>
      <c r="C28" s="273">
        <f t="shared" si="0"/>
        <v>0</v>
      </c>
      <c r="D28" s="639"/>
      <c r="E28" s="467"/>
      <c r="F28" s="467"/>
      <c r="G28" s="467"/>
      <c r="H28" s="467"/>
      <c r="I28" s="467"/>
    </row>
    <row r="29" spans="1:9" s="179" customFormat="1" ht="12.15" customHeight="1" x14ac:dyDescent="0.25">
      <c r="A29" s="11" t="s">
        <v>75</v>
      </c>
      <c r="B29" s="181" t="s">
        <v>191</v>
      </c>
      <c r="C29" s="277">
        <f t="shared" si="0"/>
        <v>0</v>
      </c>
      <c r="D29" s="246"/>
      <c r="E29" s="114"/>
      <c r="F29" s="114"/>
      <c r="G29" s="114"/>
      <c r="H29" s="114"/>
      <c r="I29" s="114"/>
    </row>
    <row r="30" spans="1:9" s="179" customFormat="1" ht="12.15" customHeight="1" x14ac:dyDescent="0.25">
      <c r="A30" s="11" t="s">
        <v>76</v>
      </c>
      <c r="B30" s="181" t="s">
        <v>354</v>
      </c>
      <c r="C30" s="277">
        <f t="shared" si="0"/>
        <v>0</v>
      </c>
      <c r="D30" s="246"/>
      <c r="E30" s="114"/>
      <c r="F30" s="114"/>
      <c r="G30" s="114"/>
      <c r="H30" s="114"/>
      <c r="I30" s="114"/>
    </row>
    <row r="31" spans="1:9" s="179" customFormat="1" ht="12.15" customHeight="1" x14ac:dyDescent="0.25">
      <c r="A31" s="11" t="s">
        <v>77</v>
      </c>
      <c r="B31" s="181" t="s">
        <v>355</v>
      </c>
      <c r="C31" s="277">
        <f t="shared" si="0"/>
        <v>0</v>
      </c>
      <c r="D31" s="246"/>
      <c r="E31" s="114"/>
      <c r="F31" s="114"/>
      <c r="G31" s="114"/>
      <c r="H31" s="114"/>
      <c r="I31" s="114"/>
    </row>
    <row r="32" spans="1:9" s="179" customFormat="1" ht="12.15" customHeight="1" x14ac:dyDescent="0.25">
      <c r="A32" s="11" t="s">
        <v>122</v>
      </c>
      <c r="B32" s="181" t="s">
        <v>192</v>
      </c>
      <c r="C32" s="274">
        <f t="shared" si="0"/>
        <v>0</v>
      </c>
      <c r="D32" s="246"/>
      <c r="E32" s="114"/>
      <c r="F32" s="114"/>
      <c r="G32" s="114"/>
      <c r="H32" s="114"/>
      <c r="I32" s="114"/>
    </row>
    <row r="33" spans="1:14" s="179" customFormat="1" ht="12.15" customHeight="1" thickBot="1" x14ac:dyDescent="0.3">
      <c r="A33" s="13" t="s">
        <v>123</v>
      </c>
      <c r="B33" s="182" t="s">
        <v>193</v>
      </c>
      <c r="C33" s="631">
        <f t="shared" si="0"/>
        <v>0</v>
      </c>
      <c r="D33" s="249"/>
      <c r="E33" s="170"/>
      <c r="F33" s="170"/>
      <c r="G33" s="170"/>
      <c r="H33" s="170"/>
      <c r="I33" s="170"/>
    </row>
    <row r="34" spans="1:14" s="179" customFormat="1" ht="12.15" customHeight="1" thickBot="1" x14ac:dyDescent="0.3">
      <c r="A34" s="17" t="s">
        <v>124</v>
      </c>
      <c r="B34" s="18" t="s">
        <v>194</v>
      </c>
      <c r="C34" s="279">
        <f t="shared" si="0"/>
        <v>0</v>
      </c>
      <c r="D34" s="257">
        <f t="shared" ref="D34:I34" si="6">+D35++D39+D40</f>
        <v>0</v>
      </c>
      <c r="E34" s="257">
        <f t="shared" si="6"/>
        <v>0</v>
      </c>
      <c r="F34" s="257">
        <f t="shared" si="6"/>
        <v>0</v>
      </c>
      <c r="G34" s="257">
        <f t="shared" si="6"/>
        <v>0</v>
      </c>
      <c r="H34" s="257">
        <f t="shared" si="6"/>
        <v>0</v>
      </c>
      <c r="I34" s="257">
        <f t="shared" si="6"/>
        <v>0</v>
      </c>
      <c r="N34" s="698"/>
    </row>
    <row r="35" spans="1:14" s="179" customFormat="1" ht="12.15" customHeight="1" x14ac:dyDescent="0.25">
      <c r="A35" s="12" t="s">
        <v>195</v>
      </c>
      <c r="B35" s="180" t="s">
        <v>553</v>
      </c>
      <c r="C35" s="176">
        <f t="shared" si="0"/>
        <v>0</v>
      </c>
      <c r="D35" s="269">
        <f t="shared" ref="D35:H35" si="7">SUM(D36:D37)</f>
        <v>0</v>
      </c>
      <c r="E35" s="269">
        <f t="shared" si="7"/>
        <v>0</v>
      </c>
      <c r="F35" s="269">
        <f t="shared" si="7"/>
        <v>0</v>
      </c>
      <c r="G35" s="269">
        <f t="shared" si="7"/>
        <v>0</v>
      </c>
      <c r="H35" s="269">
        <f t="shared" si="7"/>
        <v>0</v>
      </c>
      <c r="I35" s="269">
        <f t="shared" ref="I35" si="8">SUM(I36:I37)</f>
        <v>0</v>
      </c>
    </row>
    <row r="36" spans="1:14" s="179" customFormat="1" ht="12.15" customHeight="1" x14ac:dyDescent="0.25">
      <c r="A36" s="11" t="s">
        <v>196</v>
      </c>
      <c r="B36" s="181" t="s">
        <v>201</v>
      </c>
      <c r="C36" s="277">
        <f t="shared" si="0"/>
        <v>0</v>
      </c>
      <c r="D36" s="99"/>
      <c r="E36" s="111"/>
      <c r="F36" s="111"/>
      <c r="G36" s="111"/>
      <c r="H36" s="111"/>
      <c r="I36" s="111"/>
    </row>
    <row r="37" spans="1:14" s="179" customFormat="1" ht="12.15" customHeight="1" x14ac:dyDescent="0.25">
      <c r="A37" s="11" t="s">
        <v>197</v>
      </c>
      <c r="B37" s="232" t="s">
        <v>552</v>
      </c>
      <c r="C37" s="277">
        <f t="shared" si="0"/>
        <v>0</v>
      </c>
      <c r="D37" s="99"/>
      <c r="E37" s="111"/>
      <c r="F37" s="111"/>
      <c r="G37" s="111"/>
      <c r="H37" s="111"/>
      <c r="I37" s="111"/>
    </row>
    <row r="38" spans="1:14" s="179" customFormat="1" ht="12.15" customHeight="1" x14ac:dyDescent="0.25">
      <c r="A38" s="11" t="s">
        <v>198</v>
      </c>
      <c r="B38" s="181" t="s">
        <v>469</v>
      </c>
      <c r="C38" s="277">
        <f t="shared" si="0"/>
        <v>0</v>
      </c>
      <c r="D38" s="246"/>
      <c r="E38" s="114"/>
      <c r="F38" s="114"/>
      <c r="G38" s="114"/>
      <c r="H38" s="114"/>
      <c r="I38" s="114"/>
    </row>
    <row r="39" spans="1:14" s="179" customFormat="1" ht="12.15" customHeight="1" x14ac:dyDescent="0.25">
      <c r="A39" s="11" t="s">
        <v>200</v>
      </c>
      <c r="B39" s="181" t="s">
        <v>203</v>
      </c>
      <c r="C39" s="277">
        <f t="shared" si="0"/>
        <v>0</v>
      </c>
      <c r="D39" s="99"/>
      <c r="E39" s="111"/>
      <c r="F39" s="111"/>
      <c r="G39" s="111"/>
      <c r="H39" s="111"/>
      <c r="I39" s="111"/>
    </row>
    <row r="40" spans="1:14" s="179" customFormat="1" ht="12.15" customHeight="1" thickBot="1" x14ac:dyDescent="0.3">
      <c r="A40" s="13" t="s">
        <v>471</v>
      </c>
      <c r="B40" s="182" t="s">
        <v>204</v>
      </c>
      <c r="C40" s="278">
        <f t="shared" si="0"/>
        <v>0</v>
      </c>
      <c r="D40" s="249"/>
      <c r="E40" s="170"/>
      <c r="F40" s="170"/>
      <c r="G40" s="170"/>
      <c r="H40" s="170"/>
      <c r="I40" s="170"/>
    </row>
    <row r="41" spans="1:14" s="179" customFormat="1" ht="12.15" customHeight="1" thickBot="1" x14ac:dyDescent="0.3">
      <c r="A41" s="17" t="s">
        <v>20</v>
      </c>
      <c r="B41" s="18" t="s">
        <v>387</v>
      </c>
      <c r="C41" s="110">
        <f t="shared" si="0"/>
        <v>284146361</v>
      </c>
      <c r="D41" s="255">
        <f t="shared" ref="D41:I41" si="9">SUM(D42:D52)</f>
        <v>4347000</v>
      </c>
      <c r="E41" s="110">
        <f t="shared" si="9"/>
        <v>0</v>
      </c>
      <c r="F41" s="110">
        <f t="shared" si="9"/>
        <v>0</v>
      </c>
      <c r="G41" s="110">
        <f t="shared" si="9"/>
        <v>2000000</v>
      </c>
      <c r="H41" s="110">
        <f t="shared" si="9"/>
        <v>0</v>
      </c>
      <c r="I41" s="110">
        <f t="shared" si="9"/>
        <v>277799361</v>
      </c>
    </row>
    <row r="42" spans="1:14" s="179" customFormat="1" ht="12.15" customHeight="1" x14ac:dyDescent="0.25">
      <c r="A42" s="12" t="s">
        <v>78</v>
      </c>
      <c r="B42" s="180" t="s">
        <v>207</v>
      </c>
      <c r="C42" s="176">
        <f t="shared" si="0"/>
        <v>0</v>
      </c>
      <c r="D42" s="639"/>
      <c r="E42" s="214"/>
      <c r="F42" s="214"/>
      <c r="G42" s="214"/>
      <c r="H42" s="214"/>
      <c r="I42" s="214"/>
    </row>
    <row r="43" spans="1:14" s="179" customFormat="1" ht="12.15" customHeight="1" x14ac:dyDescent="0.25">
      <c r="A43" s="11" t="s">
        <v>79</v>
      </c>
      <c r="B43" s="181" t="s">
        <v>208</v>
      </c>
      <c r="C43" s="274">
        <f t="shared" ref="C43:C74" si="10">SUM(D43:I43)</f>
        <v>6154803</v>
      </c>
      <c r="D43" s="246">
        <v>1900000</v>
      </c>
      <c r="E43" s="114"/>
      <c r="F43" s="214"/>
      <c r="G43" s="214">
        <v>1574803</v>
      </c>
      <c r="H43" s="214"/>
      <c r="I43" s="214">
        <v>2680000</v>
      </c>
    </row>
    <row r="44" spans="1:14" s="179" customFormat="1" ht="12.15" customHeight="1" x14ac:dyDescent="0.25">
      <c r="A44" s="11" t="s">
        <v>80</v>
      </c>
      <c r="B44" s="181" t="s">
        <v>209</v>
      </c>
      <c r="C44" s="277">
        <f t="shared" si="10"/>
        <v>17267402</v>
      </c>
      <c r="D44" s="246">
        <v>787402</v>
      </c>
      <c r="E44" s="114"/>
      <c r="F44" s="214"/>
      <c r="G44" s="214"/>
      <c r="H44" s="214"/>
      <c r="I44" s="214">
        <v>16480000</v>
      </c>
    </row>
    <row r="45" spans="1:14" s="179" customFormat="1" ht="12.15" customHeight="1" x14ac:dyDescent="0.25">
      <c r="A45" s="11" t="s">
        <v>126</v>
      </c>
      <c r="B45" s="181" t="s">
        <v>210</v>
      </c>
      <c r="C45" s="277">
        <f t="shared" si="10"/>
        <v>0</v>
      </c>
      <c r="D45" s="246"/>
      <c r="E45" s="114"/>
      <c r="F45" s="214"/>
      <c r="G45" s="214"/>
      <c r="H45" s="214"/>
      <c r="I45" s="214"/>
    </row>
    <row r="46" spans="1:14" s="179" customFormat="1" ht="12.15" customHeight="1" x14ac:dyDescent="0.25">
      <c r="A46" s="11" t="s">
        <v>127</v>
      </c>
      <c r="B46" s="181" t="s">
        <v>211</v>
      </c>
      <c r="C46" s="274">
        <f t="shared" si="10"/>
        <v>256415480</v>
      </c>
      <c r="D46" s="246"/>
      <c r="E46" s="114"/>
      <c r="F46" s="214"/>
      <c r="G46" s="214"/>
      <c r="H46" s="214"/>
      <c r="I46" s="214">
        <v>256415480</v>
      </c>
    </row>
    <row r="47" spans="1:14" s="179" customFormat="1" ht="12.15" customHeight="1" x14ac:dyDescent="0.25">
      <c r="A47" s="11" t="s">
        <v>128</v>
      </c>
      <c r="B47" s="181" t="s">
        <v>212</v>
      </c>
      <c r="C47" s="274">
        <f t="shared" si="10"/>
        <v>3374676</v>
      </c>
      <c r="D47" s="246">
        <v>725598</v>
      </c>
      <c r="E47" s="114"/>
      <c r="F47" s="214"/>
      <c r="G47" s="214">
        <v>425197</v>
      </c>
      <c r="H47" s="214"/>
      <c r="I47" s="214">
        <v>2223881</v>
      </c>
    </row>
    <row r="48" spans="1:14" s="179" customFormat="1" ht="12.15" customHeight="1" x14ac:dyDescent="0.25">
      <c r="A48" s="11" t="s">
        <v>129</v>
      </c>
      <c r="B48" s="181" t="s">
        <v>213</v>
      </c>
      <c r="C48" s="274">
        <f t="shared" si="10"/>
        <v>834000</v>
      </c>
      <c r="D48" s="246">
        <v>834000</v>
      </c>
      <c r="E48" s="114"/>
      <c r="F48" s="214"/>
      <c r="G48" s="214"/>
      <c r="H48" s="214"/>
      <c r="I48" s="214"/>
    </row>
    <row r="49" spans="1:9" s="179" customFormat="1" ht="12.15" customHeight="1" x14ac:dyDescent="0.25">
      <c r="A49" s="11" t="s">
        <v>130</v>
      </c>
      <c r="B49" s="181" t="s">
        <v>474</v>
      </c>
      <c r="C49" s="277">
        <f t="shared" si="10"/>
        <v>0</v>
      </c>
      <c r="D49" s="246"/>
      <c r="E49" s="114"/>
      <c r="F49" s="214"/>
      <c r="G49" s="214"/>
      <c r="H49" s="214"/>
      <c r="I49" s="214"/>
    </row>
    <row r="50" spans="1:9" s="179" customFormat="1" ht="12.15" customHeight="1" x14ac:dyDescent="0.25">
      <c r="A50" s="11" t="s">
        <v>205</v>
      </c>
      <c r="B50" s="181" t="s">
        <v>215</v>
      </c>
      <c r="C50" s="277">
        <f t="shared" si="10"/>
        <v>0</v>
      </c>
      <c r="D50" s="246"/>
      <c r="E50" s="114"/>
      <c r="F50" s="214"/>
      <c r="G50" s="214"/>
      <c r="H50" s="214"/>
      <c r="I50" s="214"/>
    </row>
    <row r="51" spans="1:9" s="179" customFormat="1" ht="12.15" customHeight="1" x14ac:dyDescent="0.25">
      <c r="A51" s="13" t="s">
        <v>206</v>
      </c>
      <c r="B51" s="182" t="s">
        <v>388</v>
      </c>
      <c r="C51" s="277">
        <f t="shared" si="10"/>
        <v>0</v>
      </c>
      <c r="D51" s="249"/>
      <c r="E51" s="170"/>
      <c r="F51" s="214"/>
      <c r="G51" s="214"/>
      <c r="H51" s="214"/>
      <c r="I51" s="214"/>
    </row>
    <row r="52" spans="1:9" s="179" customFormat="1" ht="12.15" customHeight="1" thickBot="1" x14ac:dyDescent="0.3">
      <c r="A52" s="13" t="s">
        <v>389</v>
      </c>
      <c r="B52" s="107" t="s">
        <v>216</v>
      </c>
      <c r="C52" s="631">
        <f t="shared" si="10"/>
        <v>100000</v>
      </c>
      <c r="D52" s="249">
        <v>100000</v>
      </c>
      <c r="E52" s="170"/>
      <c r="F52" s="214"/>
      <c r="G52" s="214"/>
      <c r="H52" s="214"/>
      <c r="I52" s="214"/>
    </row>
    <row r="53" spans="1:9" s="179" customFormat="1" ht="12.15" customHeight="1" thickBot="1" x14ac:dyDescent="0.3">
      <c r="A53" s="17" t="s">
        <v>21</v>
      </c>
      <c r="B53" s="18" t="s">
        <v>217</v>
      </c>
      <c r="C53" s="110">
        <f t="shared" si="10"/>
        <v>0</v>
      </c>
      <c r="D53" s="255">
        <f t="shared" ref="D53:I53" si="11">SUM(D54:D58)</f>
        <v>0</v>
      </c>
      <c r="E53" s="110">
        <f t="shared" si="11"/>
        <v>0</v>
      </c>
      <c r="F53" s="110">
        <f t="shared" si="11"/>
        <v>0</v>
      </c>
      <c r="G53" s="110">
        <f t="shared" si="11"/>
        <v>0</v>
      </c>
      <c r="H53" s="110">
        <f t="shared" si="11"/>
        <v>0</v>
      </c>
      <c r="I53" s="110">
        <f t="shared" si="11"/>
        <v>0</v>
      </c>
    </row>
    <row r="54" spans="1:9" s="179" customFormat="1" ht="12.15" customHeight="1" x14ac:dyDescent="0.25">
      <c r="A54" s="12" t="s">
        <v>81</v>
      </c>
      <c r="B54" s="180" t="s">
        <v>221</v>
      </c>
      <c r="C54" s="176">
        <f t="shared" si="10"/>
        <v>0</v>
      </c>
      <c r="D54" s="639"/>
      <c r="E54" s="214"/>
      <c r="F54" s="214"/>
      <c r="G54" s="214"/>
      <c r="H54" s="214"/>
      <c r="I54" s="214"/>
    </row>
    <row r="55" spans="1:9" s="179" customFormat="1" ht="12.15" customHeight="1" x14ac:dyDescent="0.25">
      <c r="A55" s="11" t="s">
        <v>82</v>
      </c>
      <c r="B55" s="181" t="s">
        <v>222</v>
      </c>
      <c r="C55" s="277">
        <f t="shared" si="10"/>
        <v>0</v>
      </c>
      <c r="D55" s="246"/>
      <c r="E55" s="114"/>
      <c r="F55" s="114"/>
      <c r="G55" s="114"/>
      <c r="H55" s="114"/>
      <c r="I55" s="114"/>
    </row>
    <row r="56" spans="1:9" s="179" customFormat="1" ht="12.15" customHeight="1" x14ac:dyDescent="0.25">
      <c r="A56" s="11" t="s">
        <v>218</v>
      </c>
      <c r="B56" s="181" t="s">
        <v>223</v>
      </c>
      <c r="C56" s="277">
        <f t="shared" si="10"/>
        <v>0</v>
      </c>
      <c r="D56" s="246"/>
      <c r="E56" s="114"/>
      <c r="F56" s="114"/>
      <c r="G56" s="114"/>
      <c r="H56" s="114"/>
      <c r="I56" s="114"/>
    </row>
    <row r="57" spans="1:9" s="179" customFormat="1" ht="12.15" customHeight="1" x14ac:dyDescent="0.25">
      <c r="A57" s="11" t="s">
        <v>219</v>
      </c>
      <c r="B57" s="181" t="s">
        <v>224</v>
      </c>
      <c r="C57" s="277">
        <f t="shared" si="10"/>
        <v>0</v>
      </c>
      <c r="D57" s="246"/>
      <c r="E57" s="114"/>
      <c r="F57" s="114"/>
      <c r="G57" s="114"/>
      <c r="H57" s="114"/>
      <c r="I57" s="114"/>
    </row>
    <row r="58" spans="1:9" s="179" customFormat="1" ht="12.15" customHeight="1" thickBot="1" x14ac:dyDescent="0.3">
      <c r="A58" s="13" t="s">
        <v>220</v>
      </c>
      <c r="B58" s="107" t="s">
        <v>225</v>
      </c>
      <c r="C58" s="278">
        <f t="shared" si="10"/>
        <v>0</v>
      </c>
      <c r="D58" s="249"/>
      <c r="E58" s="170"/>
      <c r="F58" s="170"/>
      <c r="G58" s="170"/>
      <c r="H58" s="170"/>
      <c r="I58" s="170"/>
    </row>
    <row r="59" spans="1:9" s="179" customFormat="1" ht="12.15" customHeight="1" thickBot="1" x14ac:dyDescent="0.3">
      <c r="A59" s="17" t="s">
        <v>131</v>
      </c>
      <c r="B59" s="18" t="s">
        <v>226</v>
      </c>
      <c r="C59" s="110">
        <f t="shared" si="10"/>
        <v>1295000</v>
      </c>
      <c r="D59" s="255">
        <f t="shared" ref="D59:I59" si="12">SUM(D60:D62)</f>
        <v>1295000</v>
      </c>
      <c r="E59" s="110">
        <f t="shared" si="12"/>
        <v>0</v>
      </c>
      <c r="F59" s="110">
        <f t="shared" si="12"/>
        <v>0</v>
      </c>
      <c r="G59" s="110">
        <f t="shared" si="12"/>
        <v>0</v>
      </c>
      <c r="H59" s="110">
        <f t="shared" si="12"/>
        <v>0</v>
      </c>
      <c r="I59" s="110">
        <f t="shared" si="12"/>
        <v>0</v>
      </c>
    </row>
    <row r="60" spans="1:9" s="179" customFormat="1" ht="12.15" customHeight="1" x14ac:dyDescent="0.25">
      <c r="A60" s="12" t="s">
        <v>83</v>
      </c>
      <c r="B60" s="180" t="s">
        <v>227</v>
      </c>
      <c r="C60" s="176">
        <f t="shared" si="10"/>
        <v>0</v>
      </c>
      <c r="D60" s="256"/>
      <c r="E60" s="112"/>
      <c r="F60" s="112"/>
      <c r="G60" s="112"/>
      <c r="H60" s="112"/>
      <c r="I60" s="112"/>
    </row>
    <row r="61" spans="1:9" s="179" customFormat="1" ht="12.15" customHeight="1" x14ac:dyDescent="0.25">
      <c r="A61" s="11" t="s">
        <v>84</v>
      </c>
      <c r="B61" s="181" t="s">
        <v>356</v>
      </c>
      <c r="C61" s="277">
        <f t="shared" si="10"/>
        <v>200000</v>
      </c>
      <c r="D61" s="246">
        <v>200000</v>
      </c>
      <c r="E61" s="114"/>
      <c r="F61" s="114"/>
      <c r="G61" s="114"/>
      <c r="H61" s="114"/>
      <c r="I61" s="114"/>
    </row>
    <row r="62" spans="1:9" s="179" customFormat="1" ht="12.15" customHeight="1" x14ac:dyDescent="0.25">
      <c r="A62" s="11" t="s">
        <v>230</v>
      </c>
      <c r="B62" s="181" t="s">
        <v>228</v>
      </c>
      <c r="C62" s="274">
        <f t="shared" si="10"/>
        <v>1095000</v>
      </c>
      <c r="D62" s="246">
        <v>1095000</v>
      </c>
      <c r="E62" s="114"/>
      <c r="F62" s="114"/>
      <c r="G62" s="114"/>
      <c r="H62" s="114"/>
      <c r="I62" s="114"/>
    </row>
    <row r="63" spans="1:9" s="179" customFormat="1" ht="12.15" customHeight="1" thickBot="1" x14ac:dyDescent="0.3">
      <c r="A63" s="13" t="s">
        <v>231</v>
      </c>
      <c r="B63" s="107" t="s">
        <v>229</v>
      </c>
      <c r="C63" s="278">
        <f t="shared" si="10"/>
        <v>0</v>
      </c>
      <c r="D63" s="100"/>
      <c r="E63" s="113"/>
      <c r="F63" s="113"/>
      <c r="G63" s="113"/>
      <c r="H63" s="113"/>
      <c r="I63" s="113"/>
    </row>
    <row r="64" spans="1:9" s="179" customFormat="1" ht="12.15" customHeight="1" thickBot="1" x14ac:dyDescent="0.3">
      <c r="A64" s="17" t="s">
        <v>23</v>
      </c>
      <c r="B64" s="105" t="s">
        <v>232</v>
      </c>
      <c r="C64" s="110">
        <f t="shared" si="10"/>
        <v>0</v>
      </c>
      <c r="D64" s="255">
        <f t="shared" ref="D64:I64" si="13">SUM(D65:D67)</f>
        <v>0</v>
      </c>
      <c r="E64" s="110">
        <f t="shared" si="13"/>
        <v>0</v>
      </c>
      <c r="F64" s="110">
        <f t="shared" si="13"/>
        <v>0</v>
      </c>
      <c r="G64" s="110">
        <f t="shared" si="13"/>
        <v>0</v>
      </c>
      <c r="H64" s="110">
        <f t="shared" si="13"/>
        <v>0</v>
      </c>
      <c r="I64" s="110">
        <f t="shared" si="13"/>
        <v>0</v>
      </c>
    </row>
    <row r="65" spans="1:9" s="179" customFormat="1" ht="12.15" customHeight="1" x14ac:dyDescent="0.25">
      <c r="A65" s="12" t="s">
        <v>132</v>
      </c>
      <c r="B65" s="180" t="s">
        <v>234</v>
      </c>
      <c r="C65" s="176">
        <f t="shared" si="10"/>
        <v>0</v>
      </c>
      <c r="D65" s="246"/>
      <c r="E65" s="114"/>
      <c r="F65" s="114"/>
      <c r="G65" s="114"/>
      <c r="H65" s="114"/>
      <c r="I65" s="114"/>
    </row>
    <row r="66" spans="1:9" s="179" customFormat="1" ht="12.15" customHeight="1" x14ac:dyDescent="0.25">
      <c r="A66" s="11" t="s">
        <v>133</v>
      </c>
      <c r="B66" s="181" t="s">
        <v>357</v>
      </c>
      <c r="C66" s="277">
        <f t="shared" si="10"/>
        <v>0</v>
      </c>
      <c r="D66" s="246"/>
      <c r="E66" s="114"/>
      <c r="F66" s="114"/>
      <c r="G66" s="114"/>
      <c r="H66" s="114"/>
      <c r="I66" s="114"/>
    </row>
    <row r="67" spans="1:9" s="179" customFormat="1" ht="12.15" customHeight="1" x14ac:dyDescent="0.25">
      <c r="A67" s="11" t="s">
        <v>158</v>
      </c>
      <c r="B67" s="181" t="s">
        <v>235</v>
      </c>
      <c r="C67" s="628">
        <f t="shared" si="10"/>
        <v>0</v>
      </c>
      <c r="D67" s="246"/>
      <c r="E67" s="114"/>
      <c r="F67" s="114"/>
      <c r="G67" s="114"/>
      <c r="H67" s="114"/>
      <c r="I67" s="114"/>
    </row>
    <row r="68" spans="1:9" s="179" customFormat="1" ht="12.15" customHeight="1" thickBot="1" x14ac:dyDescent="0.3">
      <c r="A68" s="13" t="s">
        <v>233</v>
      </c>
      <c r="B68" s="107" t="s">
        <v>236</v>
      </c>
      <c r="C68" s="631">
        <f t="shared" si="10"/>
        <v>0</v>
      </c>
      <c r="D68" s="246"/>
      <c r="E68" s="114"/>
      <c r="F68" s="114"/>
      <c r="G68" s="114"/>
      <c r="H68" s="114"/>
      <c r="I68" s="114"/>
    </row>
    <row r="69" spans="1:9" s="179" customFormat="1" ht="12.15" customHeight="1" thickBot="1" x14ac:dyDescent="0.3">
      <c r="A69" s="233" t="s">
        <v>390</v>
      </c>
      <c r="B69" s="18" t="s">
        <v>237</v>
      </c>
      <c r="C69" s="110">
        <f t="shared" si="10"/>
        <v>1275445432</v>
      </c>
      <c r="D69" s="257">
        <f t="shared" ref="D69:I69" si="14">+D11+D20+D27+D34+D41+D53+D59+D64</f>
        <v>757497071</v>
      </c>
      <c r="E69" s="115">
        <f t="shared" si="14"/>
        <v>0</v>
      </c>
      <c r="F69" s="115">
        <f t="shared" si="14"/>
        <v>0</v>
      </c>
      <c r="G69" s="115">
        <f t="shared" si="14"/>
        <v>2000000</v>
      </c>
      <c r="H69" s="115">
        <f t="shared" si="14"/>
        <v>0</v>
      </c>
      <c r="I69" s="115">
        <f t="shared" si="14"/>
        <v>515948361</v>
      </c>
    </row>
    <row r="70" spans="1:9" s="179" customFormat="1" ht="12.15" customHeight="1" thickBot="1" x14ac:dyDescent="0.3">
      <c r="A70" s="234" t="s">
        <v>238</v>
      </c>
      <c r="B70" s="105" t="s">
        <v>239</v>
      </c>
      <c r="C70" s="110">
        <f t="shared" si="10"/>
        <v>0</v>
      </c>
      <c r="D70" s="255">
        <f t="shared" ref="D70:H70" si="15">SUM(D71:D73)</f>
        <v>0</v>
      </c>
      <c r="E70" s="110">
        <f t="shared" si="15"/>
        <v>0</v>
      </c>
      <c r="F70" s="110">
        <f t="shared" si="15"/>
        <v>0</v>
      </c>
      <c r="G70" s="110">
        <f t="shared" si="15"/>
        <v>0</v>
      </c>
      <c r="H70" s="110">
        <f t="shared" si="15"/>
        <v>0</v>
      </c>
      <c r="I70" s="110">
        <f t="shared" ref="I70" si="16">SUM(I71:I73)</f>
        <v>0</v>
      </c>
    </row>
    <row r="71" spans="1:9" s="179" customFormat="1" ht="12.15" customHeight="1" x14ac:dyDescent="0.25">
      <c r="A71" s="12" t="s">
        <v>270</v>
      </c>
      <c r="B71" s="180" t="s">
        <v>240</v>
      </c>
      <c r="C71" s="176">
        <f t="shared" si="10"/>
        <v>0</v>
      </c>
      <c r="D71" s="246"/>
      <c r="E71" s="114"/>
      <c r="F71" s="114"/>
      <c r="G71" s="114"/>
      <c r="H71" s="114"/>
      <c r="I71" s="114"/>
    </row>
    <row r="72" spans="1:9" s="179" customFormat="1" ht="12.15" customHeight="1" x14ac:dyDescent="0.25">
      <c r="A72" s="11" t="s">
        <v>279</v>
      </c>
      <c r="B72" s="181" t="s">
        <v>241</v>
      </c>
      <c r="C72" s="277">
        <f t="shared" si="10"/>
        <v>0</v>
      </c>
      <c r="D72" s="246"/>
      <c r="E72" s="114"/>
      <c r="F72" s="114"/>
      <c r="G72" s="114"/>
      <c r="H72" s="114"/>
      <c r="I72" s="114"/>
    </row>
    <row r="73" spans="1:9" s="179" customFormat="1" ht="12.15" customHeight="1" thickBot="1" x14ac:dyDescent="0.3">
      <c r="A73" s="13" t="s">
        <v>280</v>
      </c>
      <c r="B73" s="235" t="s">
        <v>391</v>
      </c>
      <c r="C73" s="278">
        <f t="shared" si="10"/>
        <v>0</v>
      </c>
      <c r="D73" s="246"/>
      <c r="E73" s="114"/>
      <c r="F73" s="114"/>
      <c r="G73" s="114"/>
      <c r="H73" s="114"/>
      <c r="I73" s="114"/>
    </row>
    <row r="74" spans="1:9" s="179" customFormat="1" ht="12.15" customHeight="1" thickBot="1" x14ac:dyDescent="0.3">
      <c r="A74" s="234" t="s">
        <v>243</v>
      </c>
      <c r="B74" s="105" t="s">
        <v>244</v>
      </c>
      <c r="C74" s="279">
        <f t="shared" si="10"/>
        <v>0</v>
      </c>
      <c r="D74" s="255">
        <f t="shared" ref="D74:I74" si="17">SUM(D75:D78)</f>
        <v>0</v>
      </c>
      <c r="E74" s="110">
        <f t="shared" si="17"/>
        <v>0</v>
      </c>
      <c r="F74" s="110">
        <f t="shared" si="17"/>
        <v>0</v>
      </c>
      <c r="G74" s="110">
        <f t="shared" si="17"/>
        <v>0</v>
      </c>
      <c r="H74" s="110">
        <f t="shared" si="17"/>
        <v>0</v>
      </c>
      <c r="I74" s="110">
        <f t="shared" si="17"/>
        <v>0</v>
      </c>
    </row>
    <row r="75" spans="1:9" s="179" customFormat="1" ht="12.15" customHeight="1" x14ac:dyDescent="0.25">
      <c r="A75" s="12" t="s">
        <v>112</v>
      </c>
      <c r="B75" s="180" t="s">
        <v>245</v>
      </c>
      <c r="C75" s="176">
        <f t="shared" ref="C75:C94" si="18">SUM(D75:I75)</f>
        <v>0</v>
      </c>
      <c r="D75" s="246"/>
      <c r="E75" s="114"/>
      <c r="F75" s="114"/>
      <c r="G75" s="114"/>
      <c r="H75" s="114"/>
      <c r="I75" s="114"/>
    </row>
    <row r="76" spans="1:9" s="179" customFormat="1" ht="12.15" customHeight="1" x14ac:dyDescent="0.25">
      <c r="A76" s="11" t="s">
        <v>113</v>
      </c>
      <c r="B76" s="181" t="s">
        <v>719</v>
      </c>
      <c r="C76" s="277">
        <f t="shared" si="18"/>
        <v>0</v>
      </c>
      <c r="D76" s="246"/>
      <c r="E76" s="114"/>
      <c r="F76" s="114"/>
      <c r="G76" s="114"/>
      <c r="H76" s="114"/>
      <c r="I76" s="114"/>
    </row>
    <row r="77" spans="1:9" s="179" customFormat="1" ht="12.15" customHeight="1" x14ac:dyDescent="0.25">
      <c r="A77" s="11" t="s">
        <v>271</v>
      </c>
      <c r="B77" s="181" t="s">
        <v>247</v>
      </c>
      <c r="C77" s="277">
        <f t="shared" si="18"/>
        <v>0</v>
      </c>
      <c r="D77" s="246"/>
      <c r="E77" s="114"/>
      <c r="F77" s="114"/>
      <c r="G77" s="114"/>
      <c r="H77" s="114"/>
      <c r="I77" s="114"/>
    </row>
    <row r="78" spans="1:9" s="179" customFormat="1" ht="12.15" customHeight="1" thickBot="1" x14ac:dyDescent="0.3">
      <c r="A78" s="13" t="s">
        <v>272</v>
      </c>
      <c r="B78" s="107" t="s">
        <v>720</v>
      </c>
      <c r="C78" s="278">
        <f t="shared" si="18"/>
        <v>0</v>
      </c>
      <c r="D78" s="246"/>
      <c r="E78" s="114"/>
      <c r="F78" s="114"/>
      <c r="G78" s="114"/>
      <c r="H78" s="114"/>
      <c r="I78" s="114"/>
    </row>
    <row r="79" spans="1:9" s="179" customFormat="1" ht="12.15" customHeight="1" thickBot="1" x14ac:dyDescent="0.3">
      <c r="A79" s="234" t="s">
        <v>249</v>
      </c>
      <c r="B79" s="105" t="s">
        <v>250</v>
      </c>
      <c r="C79" s="110">
        <f t="shared" si="18"/>
        <v>89366856</v>
      </c>
      <c r="D79" s="255">
        <f t="shared" ref="D79:I79" si="19">SUM(D80:D81)</f>
        <v>0</v>
      </c>
      <c r="E79" s="110">
        <f t="shared" si="19"/>
        <v>0</v>
      </c>
      <c r="F79" s="110">
        <f t="shared" si="19"/>
        <v>0</v>
      </c>
      <c r="G79" s="110">
        <f t="shared" si="19"/>
        <v>0</v>
      </c>
      <c r="H79" s="110">
        <f t="shared" si="19"/>
        <v>0</v>
      </c>
      <c r="I79" s="110">
        <f t="shared" si="19"/>
        <v>89366856</v>
      </c>
    </row>
    <row r="80" spans="1:9" s="179" customFormat="1" ht="12.15" customHeight="1" x14ac:dyDescent="0.25">
      <c r="A80" s="12" t="s">
        <v>273</v>
      </c>
      <c r="B80" s="180" t="s">
        <v>251</v>
      </c>
      <c r="C80" s="176">
        <f t="shared" si="18"/>
        <v>89366856</v>
      </c>
      <c r="D80" s="246"/>
      <c r="E80" s="114"/>
      <c r="F80" s="114"/>
      <c r="G80" s="114"/>
      <c r="H80" s="114"/>
      <c r="I80" s="114">
        <v>89366856</v>
      </c>
    </row>
    <row r="81" spans="1:9" s="179" customFormat="1" ht="12.15" customHeight="1" thickBot="1" x14ac:dyDescent="0.3">
      <c r="A81" s="13" t="s">
        <v>274</v>
      </c>
      <c r="B81" s="107" t="s">
        <v>252</v>
      </c>
      <c r="C81" s="278">
        <f t="shared" si="18"/>
        <v>0</v>
      </c>
      <c r="D81" s="246"/>
      <c r="E81" s="114"/>
      <c r="F81" s="114"/>
      <c r="G81" s="114"/>
      <c r="H81" s="114"/>
      <c r="I81" s="114"/>
    </row>
    <row r="82" spans="1:9" s="179" customFormat="1" ht="12.15" customHeight="1" thickBot="1" x14ac:dyDescent="0.3">
      <c r="A82" s="234" t="s">
        <v>253</v>
      </c>
      <c r="B82" s="105" t="s">
        <v>254</v>
      </c>
      <c r="C82" s="110">
        <f t="shared" si="18"/>
        <v>0</v>
      </c>
      <c r="D82" s="255">
        <f t="shared" ref="D82:I82" si="20">SUM(D83:D85)</f>
        <v>0</v>
      </c>
      <c r="E82" s="110">
        <f t="shared" si="20"/>
        <v>0</v>
      </c>
      <c r="F82" s="110">
        <f t="shared" si="20"/>
        <v>0</v>
      </c>
      <c r="G82" s="110">
        <f t="shared" si="20"/>
        <v>0</v>
      </c>
      <c r="H82" s="110">
        <f t="shared" si="20"/>
        <v>0</v>
      </c>
      <c r="I82" s="110">
        <f t="shared" si="20"/>
        <v>0</v>
      </c>
    </row>
    <row r="83" spans="1:9" s="179" customFormat="1" ht="12.15" customHeight="1" x14ac:dyDescent="0.25">
      <c r="A83" s="12" t="s">
        <v>275</v>
      </c>
      <c r="B83" s="180" t="s">
        <v>255</v>
      </c>
      <c r="C83" s="176">
        <f t="shared" si="18"/>
        <v>0</v>
      </c>
      <c r="D83" s="246"/>
      <c r="E83" s="114"/>
      <c r="F83" s="114"/>
      <c r="G83" s="114"/>
      <c r="H83" s="114"/>
      <c r="I83" s="114"/>
    </row>
    <row r="84" spans="1:9" s="179" customFormat="1" ht="12.15" customHeight="1" x14ac:dyDescent="0.25">
      <c r="A84" s="11" t="s">
        <v>276</v>
      </c>
      <c r="B84" s="181" t="s">
        <v>256</v>
      </c>
      <c r="C84" s="277">
        <f t="shared" si="18"/>
        <v>0</v>
      </c>
      <c r="D84" s="246"/>
      <c r="E84" s="114"/>
      <c r="F84" s="114"/>
      <c r="G84" s="114"/>
      <c r="H84" s="114"/>
      <c r="I84" s="114"/>
    </row>
    <row r="85" spans="1:9" s="179" customFormat="1" ht="12.15" customHeight="1" thickBot="1" x14ac:dyDescent="0.3">
      <c r="A85" s="13" t="s">
        <v>277</v>
      </c>
      <c r="B85" s="107" t="s">
        <v>721</v>
      </c>
      <c r="C85" s="278">
        <f t="shared" si="18"/>
        <v>0</v>
      </c>
      <c r="D85" s="246"/>
      <c r="E85" s="114"/>
      <c r="F85" s="114"/>
      <c r="G85" s="114"/>
      <c r="H85" s="114"/>
      <c r="I85" s="114"/>
    </row>
    <row r="86" spans="1:9" s="179" customFormat="1" ht="12.15" customHeight="1" thickBot="1" x14ac:dyDescent="0.3">
      <c r="A86" s="234" t="s">
        <v>258</v>
      </c>
      <c r="B86" s="105" t="s">
        <v>278</v>
      </c>
      <c r="C86" s="110">
        <f t="shared" si="18"/>
        <v>0</v>
      </c>
      <c r="D86" s="255">
        <f t="shared" ref="D86:I86" si="21">SUM(D87:D90)</f>
        <v>0</v>
      </c>
      <c r="E86" s="110">
        <f t="shared" si="21"/>
        <v>0</v>
      </c>
      <c r="F86" s="110">
        <f t="shared" si="21"/>
        <v>0</v>
      </c>
      <c r="G86" s="110">
        <f t="shared" si="21"/>
        <v>0</v>
      </c>
      <c r="H86" s="110">
        <f t="shared" si="21"/>
        <v>0</v>
      </c>
      <c r="I86" s="110">
        <f t="shared" si="21"/>
        <v>0</v>
      </c>
    </row>
    <row r="87" spans="1:9" s="179" customFormat="1" ht="12.15" customHeight="1" x14ac:dyDescent="0.25">
      <c r="A87" s="184" t="s">
        <v>259</v>
      </c>
      <c r="B87" s="180" t="s">
        <v>260</v>
      </c>
      <c r="C87" s="176">
        <f t="shared" si="18"/>
        <v>0</v>
      </c>
      <c r="D87" s="246"/>
      <c r="E87" s="114"/>
      <c r="F87" s="114"/>
      <c r="G87" s="114"/>
      <c r="H87" s="114"/>
      <c r="I87" s="114"/>
    </row>
    <row r="88" spans="1:9" s="179" customFormat="1" ht="12.15" customHeight="1" x14ac:dyDescent="0.25">
      <c r="A88" s="185" t="s">
        <v>261</v>
      </c>
      <c r="B88" s="181" t="s">
        <v>262</v>
      </c>
      <c r="C88" s="277">
        <f t="shared" si="18"/>
        <v>0</v>
      </c>
      <c r="D88" s="246"/>
      <c r="E88" s="114"/>
      <c r="F88" s="114"/>
      <c r="G88" s="114"/>
      <c r="H88" s="114"/>
      <c r="I88" s="114"/>
    </row>
    <row r="89" spans="1:9" s="179" customFormat="1" ht="12.15" customHeight="1" x14ac:dyDescent="0.25">
      <c r="A89" s="185" t="s">
        <v>263</v>
      </c>
      <c r="B89" s="181" t="s">
        <v>264</v>
      </c>
      <c r="C89" s="277">
        <f t="shared" si="18"/>
        <v>0</v>
      </c>
      <c r="D89" s="246"/>
      <c r="E89" s="114"/>
      <c r="F89" s="114"/>
      <c r="G89" s="114"/>
      <c r="H89" s="114"/>
      <c r="I89" s="114"/>
    </row>
    <row r="90" spans="1:9" s="179" customFormat="1" ht="12.15" customHeight="1" thickBot="1" x14ac:dyDescent="0.3">
      <c r="A90" s="186" t="s">
        <v>265</v>
      </c>
      <c r="B90" s="107" t="s">
        <v>266</v>
      </c>
      <c r="C90" s="278">
        <f t="shared" si="18"/>
        <v>0</v>
      </c>
      <c r="D90" s="246"/>
      <c r="E90" s="114"/>
      <c r="F90" s="114"/>
      <c r="G90" s="114"/>
      <c r="H90" s="114"/>
      <c r="I90" s="114"/>
    </row>
    <row r="91" spans="1:9" s="179" customFormat="1" ht="12.15" customHeight="1" thickBot="1" x14ac:dyDescent="0.3">
      <c r="A91" s="234" t="s">
        <v>267</v>
      </c>
      <c r="B91" s="105" t="s">
        <v>392</v>
      </c>
      <c r="C91" s="110">
        <f t="shared" si="18"/>
        <v>0</v>
      </c>
      <c r="D91" s="258"/>
      <c r="E91" s="215"/>
      <c r="F91" s="215"/>
      <c r="G91" s="215"/>
      <c r="H91" s="215"/>
      <c r="I91" s="215"/>
    </row>
    <row r="92" spans="1:9" s="179" customFormat="1" ht="13.65" customHeight="1" thickBot="1" x14ac:dyDescent="0.3">
      <c r="A92" s="234" t="s">
        <v>269</v>
      </c>
      <c r="B92" s="105" t="s">
        <v>268</v>
      </c>
      <c r="C92" s="110">
        <f t="shared" si="18"/>
        <v>0</v>
      </c>
      <c r="D92" s="258"/>
      <c r="E92" s="215"/>
      <c r="F92" s="215"/>
      <c r="G92" s="215"/>
      <c r="H92" s="215"/>
      <c r="I92" s="215"/>
    </row>
    <row r="93" spans="1:9" s="179" customFormat="1" ht="15.75" customHeight="1" thickBot="1" x14ac:dyDescent="0.3">
      <c r="A93" s="234" t="s">
        <v>281</v>
      </c>
      <c r="B93" s="187" t="s">
        <v>393</v>
      </c>
      <c r="C93" s="110">
        <f t="shared" si="18"/>
        <v>89366856</v>
      </c>
      <c r="D93" s="257">
        <f t="shared" ref="D93:I93" si="22">+D70+D74+D79+D82+D86+D92+D91</f>
        <v>0</v>
      </c>
      <c r="E93" s="115">
        <f t="shared" si="22"/>
        <v>0</v>
      </c>
      <c r="F93" s="115">
        <f t="shared" si="22"/>
        <v>0</v>
      </c>
      <c r="G93" s="115">
        <f t="shared" si="22"/>
        <v>0</v>
      </c>
      <c r="H93" s="115">
        <f t="shared" si="22"/>
        <v>0</v>
      </c>
      <c r="I93" s="115">
        <f t="shared" si="22"/>
        <v>89366856</v>
      </c>
    </row>
    <row r="94" spans="1:9" s="179" customFormat="1" ht="16.5" customHeight="1" thickBot="1" x14ac:dyDescent="0.3">
      <c r="A94" s="236" t="s">
        <v>394</v>
      </c>
      <c r="B94" s="188" t="s">
        <v>395</v>
      </c>
      <c r="C94" s="110">
        <f t="shared" si="18"/>
        <v>1364812288</v>
      </c>
      <c r="D94" s="257">
        <f t="shared" ref="D94:I94" si="23">+D69+D93</f>
        <v>757497071</v>
      </c>
      <c r="E94" s="115">
        <f t="shared" si="23"/>
        <v>0</v>
      </c>
      <c r="F94" s="115">
        <f t="shared" si="23"/>
        <v>0</v>
      </c>
      <c r="G94" s="115">
        <f t="shared" si="23"/>
        <v>2000000</v>
      </c>
      <c r="H94" s="115">
        <f t="shared" si="23"/>
        <v>0</v>
      </c>
      <c r="I94" s="115">
        <f t="shared" si="23"/>
        <v>605315217</v>
      </c>
    </row>
    <row r="95" spans="1:9" ht="16.5" customHeight="1" x14ac:dyDescent="0.3">
      <c r="A95" s="1283" t="s">
        <v>44</v>
      </c>
      <c r="B95" s="1283"/>
      <c r="C95" s="1283"/>
      <c r="D95" s="281"/>
    </row>
    <row r="96" spans="1:9" ht="16.5" customHeight="1" thickBot="1" x14ac:dyDescent="0.35">
      <c r="A96" s="1284" t="s">
        <v>115</v>
      </c>
      <c r="B96" s="1284"/>
      <c r="C96" s="56" t="s">
        <v>483</v>
      </c>
    </row>
    <row r="97" spans="1:9" ht="38.1" customHeight="1" thickBot="1" x14ac:dyDescent="0.35">
      <c r="A97" s="20" t="s">
        <v>63</v>
      </c>
      <c r="B97" s="21" t="s">
        <v>45</v>
      </c>
      <c r="C97" s="29" t="str">
        <f>+C9</f>
        <v>2024. évi előirányzat</v>
      </c>
      <c r="D97" s="1075" t="str">
        <f t="shared" ref="D97:I97" si="24">D9</f>
        <v>Önk</v>
      </c>
      <c r="E97" s="1075" t="str">
        <f t="shared" si="24"/>
        <v>PH</v>
      </c>
      <c r="F97" s="1075" t="str">
        <f t="shared" si="24"/>
        <v>Óvoda</v>
      </c>
      <c r="G97" s="1075" t="str">
        <f t="shared" si="24"/>
        <v>EKIK</v>
      </c>
      <c r="H97" s="1075" t="str">
        <f t="shared" si="24"/>
        <v>Bölcsőde</v>
      </c>
      <c r="I97" s="1075" t="str">
        <f t="shared" si="24"/>
        <v>Kornisné</v>
      </c>
    </row>
    <row r="98" spans="1:9" s="178" customFormat="1" ht="12.15" customHeight="1" thickBot="1" x14ac:dyDescent="0.25">
      <c r="A98" s="25" t="s">
        <v>382</v>
      </c>
      <c r="B98" s="26" t="s">
        <v>383</v>
      </c>
      <c r="C98" s="27" t="s">
        <v>384</v>
      </c>
    </row>
    <row r="99" spans="1:9" ht="12.15" customHeight="1" thickBot="1" x14ac:dyDescent="0.35">
      <c r="A99" s="19" t="s">
        <v>16</v>
      </c>
      <c r="B99" s="23" t="s">
        <v>433</v>
      </c>
      <c r="C99" s="110">
        <f t="shared" ref="C99:C124" si="25">SUM(D99:I99)</f>
        <v>1401081412</v>
      </c>
      <c r="D99" s="261">
        <f>+D100+D101+D102+D103+D104+D117</f>
        <v>108075168</v>
      </c>
      <c r="E99" s="109">
        <f>+E100+E101+E102+E103+E104+E117</f>
        <v>0</v>
      </c>
      <c r="F99" s="265">
        <f>F100+F101+F102+F103+F104+F117</f>
        <v>0</v>
      </c>
      <c r="G99" s="265">
        <f>G100+G101+G102+G103+G104+G117</f>
        <v>2000000</v>
      </c>
      <c r="H99" s="265">
        <f>H100+H101+H102+H103+H104+H117</f>
        <v>0</v>
      </c>
      <c r="I99" s="265">
        <f>I100+I101+I102+I103+I104+I117</f>
        <v>1291006244</v>
      </c>
    </row>
    <row r="100" spans="1:9" ht="12.15" customHeight="1" x14ac:dyDescent="0.3">
      <c r="A100" s="14" t="s">
        <v>85</v>
      </c>
      <c r="B100" s="7" t="s">
        <v>46</v>
      </c>
      <c r="C100" s="1247">
        <f t="shared" si="25"/>
        <v>697568063</v>
      </c>
      <c r="D100" s="640">
        <f>11795017+31496</f>
        <v>11826513</v>
      </c>
      <c r="E100" s="251"/>
      <c r="F100" s="251"/>
      <c r="G100" s="251"/>
      <c r="H100" s="251"/>
      <c r="I100" s="251">
        <v>685741550</v>
      </c>
    </row>
    <row r="101" spans="1:9" ht="12.15" customHeight="1" x14ac:dyDescent="0.3">
      <c r="A101" s="11" t="s">
        <v>86</v>
      </c>
      <c r="B101" s="5" t="s">
        <v>134</v>
      </c>
      <c r="C101" s="274">
        <f t="shared" si="25"/>
        <v>89416812</v>
      </c>
      <c r="D101" s="246">
        <v>2752025</v>
      </c>
      <c r="E101" s="114"/>
      <c r="F101" s="114"/>
      <c r="G101" s="114"/>
      <c r="H101" s="114"/>
      <c r="I101" s="114">
        <v>86664787</v>
      </c>
    </row>
    <row r="102" spans="1:9" ht="12.15" customHeight="1" x14ac:dyDescent="0.3">
      <c r="A102" s="11" t="s">
        <v>87</v>
      </c>
      <c r="B102" s="5" t="s">
        <v>110</v>
      </c>
      <c r="C102" s="628">
        <f t="shared" si="25"/>
        <v>455910245</v>
      </c>
      <c r="D102" s="249">
        <f>49687828+10021518</f>
        <v>59709346</v>
      </c>
      <c r="E102" s="170"/>
      <c r="F102" s="114"/>
      <c r="G102" s="114">
        <v>2000000</v>
      </c>
      <c r="H102" s="114"/>
      <c r="I102" s="114">
        <v>394200899</v>
      </c>
    </row>
    <row r="103" spans="1:9" ht="12.15" customHeight="1" x14ac:dyDescent="0.3">
      <c r="A103" s="11" t="s">
        <v>88</v>
      </c>
      <c r="B103" s="5" t="s">
        <v>135</v>
      </c>
      <c r="C103" s="274">
        <f t="shared" si="25"/>
        <v>0</v>
      </c>
      <c r="D103" s="249"/>
      <c r="E103" s="170"/>
      <c r="F103" s="170"/>
      <c r="G103" s="170"/>
      <c r="H103" s="170"/>
      <c r="I103" s="170"/>
    </row>
    <row r="104" spans="1:9" ht="12.15" customHeight="1" x14ac:dyDescent="0.3">
      <c r="A104" s="11" t="s">
        <v>99</v>
      </c>
      <c r="B104" s="4" t="s">
        <v>136</v>
      </c>
      <c r="C104" s="274">
        <f t="shared" si="25"/>
        <v>158186292</v>
      </c>
      <c r="D104" s="249">
        <f>SUM(D105:D116)</f>
        <v>33787284</v>
      </c>
      <c r="E104" s="249">
        <f>SUM(E105:E116)</f>
        <v>0</v>
      </c>
      <c r="F104" s="249">
        <f>SUM(F105:F116)</f>
        <v>0</v>
      </c>
      <c r="G104" s="249">
        <f>SUM(G105:G116)</f>
        <v>0</v>
      </c>
      <c r="H104" s="249">
        <f>SUM(H105:H116)</f>
        <v>0</v>
      </c>
      <c r="I104" s="249">
        <f t="shared" ref="I104" si="26">SUM(I105:I116)</f>
        <v>124399008</v>
      </c>
    </row>
    <row r="105" spans="1:9" ht="12.15" customHeight="1" x14ac:dyDescent="0.3">
      <c r="A105" s="11" t="s">
        <v>89</v>
      </c>
      <c r="B105" s="5" t="s">
        <v>396</v>
      </c>
      <c r="C105" s="274">
        <f t="shared" si="25"/>
        <v>0</v>
      </c>
      <c r="D105" s="249"/>
      <c r="E105" s="170"/>
      <c r="F105" s="170"/>
      <c r="G105" s="170"/>
      <c r="H105" s="170"/>
      <c r="I105" s="170"/>
    </row>
    <row r="106" spans="1:9" ht="12.15" customHeight="1" x14ac:dyDescent="0.3">
      <c r="A106" s="11" t="s">
        <v>90</v>
      </c>
      <c r="B106" s="60" t="s">
        <v>397</v>
      </c>
      <c r="C106" s="274">
        <f t="shared" si="25"/>
        <v>0</v>
      </c>
      <c r="D106" s="249"/>
      <c r="E106" s="170"/>
      <c r="F106" s="170"/>
      <c r="G106" s="170"/>
      <c r="H106" s="170"/>
      <c r="I106" s="170"/>
    </row>
    <row r="107" spans="1:9" ht="12.15" customHeight="1" x14ac:dyDescent="0.3">
      <c r="A107" s="11" t="s">
        <v>100</v>
      </c>
      <c r="B107" s="60" t="s">
        <v>398</v>
      </c>
      <c r="C107" s="277">
        <f t="shared" si="25"/>
        <v>0</v>
      </c>
      <c r="D107" s="249"/>
      <c r="E107" s="170"/>
      <c r="F107" s="170"/>
      <c r="G107" s="170"/>
      <c r="H107" s="170"/>
      <c r="I107" s="170"/>
    </row>
    <row r="108" spans="1:9" ht="12.15" customHeight="1" x14ac:dyDescent="0.3">
      <c r="A108" s="11" t="s">
        <v>101</v>
      </c>
      <c r="B108" s="58" t="s">
        <v>284</v>
      </c>
      <c r="C108" s="277">
        <f t="shared" si="25"/>
        <v>0</v>
      </c>
      <c r="D108" s="249"/>
      <c r="E108" s="170"/>
      <c r="F108" s="170"/>
      <c r="G108" s="170"/>
      <c r="H108" s="170"/>
      <c r="I108" s="170"/>
    </row>
    <row r="109" spans="1:9" ht="12.15" customHeight="1" x14ac:dyDescent="0.3">
      <c r="A109" s="11" t="s">
        <v>102</v>
      </c>
      <c r="B109" s="59" t="s">
        <v>285</v>
      </c>
      <c r="C109" s="277">
        <f t="shared" si="25"/>
        <v>0</v>
      </c>
      <c r="D109" s="249"/>
      <c r="E109" s="170"/>
      <c r="F109" s="170"/>
      <c r="G109" s="170"/>
      <c r="H109" s="170"/>
      <c r="I109" s="170"/>
    </row>
    <row r="110" spans="1:9" ht="12.15" customHeight="1" x14ac:dyDescent="0.3">
      <c r="A110" s="11" t="s">
        <v>103</v>
      </c>
      <c r="B110" s="59" t="s">
        <v>286</v>
      </c>
      <c r="C110" s="277">
        <f t="shared" si="25"/>
        <v>0</v>
      </c>
      <c r="D110" s="249"/>
      <c r="E110" s="170"/>
      <c r="F110" s="170"/>
      <c r="G110" s="170"/>
      <c r="H110" s="170"/>
      <c r="I110" s="170"/>
    </row>
    <row r="111" spans="1:9" ht="12.15" customHeight="1" x14ac:dyDescent="0.3">
      <c r="A111" s="11" t="s">
        <v>105</v>
      </c>
      <c r="B111" s="58" t="s">
        <v>287</v>
      </c>
      <c r="C111" s="628">
        <f t="shared" si="25"/>
        <v>6152284</v>
      </c>
      <c r="D111" s="249">
        <f>1500803+4651481</f>
        <v>6152284</v>
      </c>
      <c r="E111" s="170"/>
      <c r="F111" s="170"/>
      <c r="G111" s="170"/>
      <c r="H111" s="170"/>
      <c r="I111" s="170"/>
    </row>
    <row r="112" spans="1:9" ht="12.15" customHeight="1" x14ac:dyDescent="0.3">
      <c r="A112" s="11" t="s">
        <v>137</v>
      </c>
      <c r="B112" s="58" t="s">
        <v>288</v>
      </c>
      <c r="C112" s="277">
        <f t="shared" si="25"/>
        <v>0</v>
      </c>
      <c r="D112" s="249"/>
      <c r="E112" s="170"/>
      <c r="F112" s="170"/>
      <c r="G112" s="170"/>
      <c r="H112" s="170"/>
      <c r="I112" s="170"/>
    </row>
    <row r="113" spans="1:9" ht="12.15" customHeight="1" x14ac:dyDescent="0.3">
      <c r="A113" s="11" t="s">
        <v>282</v>
      </c>
      <c r="B113" s="59" t="s">
        <v>289</v>
      </c>
      <c r="C113" s="277">
        <f t="shared" si="25"/>
        <v>0</v>
      </c>
      <c r="D113" s="249"/>
      <c r="E113" s="170"/>
      <c r="F113" s="170"/>
      <c r="G113" s="170"/>
      <c r="H113" s="170"/>
      <c r="I113" s="170"/>
    </row>
    <row r="114" spans="1:9" ht="12.15" customHeight="1" x14ac:dyDescent="0.3">
      <c r="A114" s="10" t="s">
        <v>283</v>
      </c>
      <c r="B114" s="60" t="s">
        <v>290</v>
      </c>
      <c r="C114" s="277">
        <f t="shared" si="25"/>
        <v>0</v>
      </c>
      <c r="D114" s="249"/>
      <c r="E114" s="170"/>
      <c r="F114" s="170"/>
      <c r="G114" s="170"/>
      <c r="H114" s="170"/>
      <c r="I114" s="170"/>
    </row>
    <row r="115" spans="1:9" ht="12.15" customHeight="1" x14ac:dyDescent="0.3">
      <c r="A115" s="11" t="s">
        <v>399</v>
      </c>
      <c r="B115" s="60" t="s">
        <v>291</v>
      </c>
      <c r="C115" s="277">
        <f t="shared" si="25"/>
        <v>0</v>
      </c>
      <c r="D115" s="249"/>
      <c r="E115" s="170"/>
      <c r="F115" s="170"/>
      <c r="G115" s="170"/>
      <c r="H115" s="170"/>
      <c r="I115" s="170"/>
    </row>
    <row r="116" spans="1:9" ht="12.15" customHeight="1" x14ac:dyDescent="0.3">
      <c r="A116" s="13" t="s">
        <v>400</v>
      </c>
      <c r="B116" s="60" t="s">
        <v>292</v>
      </c>
      <c r="C116" s="274">
        <f t="shared" si="25"/>
        <v>152034008</v>
      </c>
      <c r="D116" s="246">
        <v>27635000</v>
      </c>
      <c r="E116" s="114"/>
      <c r="F116" s="170"/>
      <c r="G116" s="170"/>
      <c r="H116" s="170"/>
      <c r="I116" s="170">
        <v>124399008</v>
      </c>
    </row>
    <row r="117" spans="1:9" ht="12.15" customHeight="1" x14ac:dyDescent="0.3">
      <c r="A117" s="11" t="s">
        <v>401</v>
      </c>
      <c r="B117" s="5" t="s">
        <v>47</v>
      </c>
      <c r="C117" s="277">
        <f t="shared" si="25"/>
        <v>0</v>
      </c>
      <c r="D117" s="246">
        <f t="shared" ref="D117:H117" si="27">SUM(D118:D119)</f>
        <v>0</v>
      </c>
      <c r="E117" s="246">
        <f t="shared" si="27"/>
        <v>0</v>
      </c>
      <c r="F117" s="246">
        <f t="shared" si="27"/>
        <v>0</v>
      </c>
      <c r="G117" s="246">
        <f t="shared" si="27"/>
        <v>0</v>
      </c>
      <c r="H117" s="246">
        <f t="shared" si="27"/>
        <v>0</v>
      </c>
      <c r="I117" s="246">
        <f t="shared" ref="I117" si="28">SUM(I118:I119)</f>
        <v>0</v>
      </c>
    </row>
    <row r="118" spans="1:9" ht="12.15" customHeight="1" x14ac:dyDescent="0.3">
      <c r="A118" s="11" t="s">
        <v>402</v>
      </c>
      <c r="B118" s="5" t="s">
        <v>403</v>
      </c>
      <c r="C118" s="277">
        <f t="shared" si="25"/>
        <v>0</v>
      </c>
      <c r="D118" s="249"/>
      <c r="E118" s="170"/>
      <c r="F118" s="114"/>
      <c r="G118" s="114"/>
      <c r="H118" s="114"/>
      <c r="I118" s="114"/>
    </row>
    <row r="119" spans="1:9" ht="12.15" customHeight="1" thickBot="1" x14ac:dyDescent="0.35">
      <c r="A119" s="15" t="s">
        <v>404</v>
      </c>
      <c r="B119" s="237" t="s">
        <v>405</v>
      </c>
      <c r="C119" s="277">
        <f t="shared" si="25"/>
        <v>0</v>
      </c>
      <c r="D119" s="270"/>
      <c r="E119" s="254"/>
      <c r="F119" s="254"/>
      <c r="G119" s="254"/>
      <c r="H119" s="254"/>
      <c r="I119" s="254"/>
    </row>
    <row r="120" spans="1:9" ht="12.15" customHeight="1" thickBot="1" x14ac:dyDescent="0.35">
      <c r="A120" s="238" t="s">
        <v>17</v>
      </c>
      <c r="B120" s="239" t="s">
        <v>293</v>
      </c>
      <c r="C120" s="110">
        <f t="shared" si="25"/>
        <v>54494902</v>
      </c>
      <c r="D120" s="255">
        <f t="shared" ref="D120:I120" si="29">+D121+D123+D125</f>
        <v>1556906</v>
      </c>
      <c r="E120" s="110">
        <f t="shared" si="29"/>
        <v>0</v>
      </c>
      <c r="F120" s="240">
        <f t="shared" si="29"/>
        <v>0</v>
      </c>
      <c r="G120" s="240">
        <f t="shared" si="29"/>
        <v>0</v>
      </c>
      <c r="H120" s="240">
        <f t="shared" si="29"/>
        <v>0</v>
      </c>
      <c r="I120" s="240">
        <f t="shared" si="29"/>
        <v>52937996</v>
      </c>
    </row>
    <row r="121" spans="1:9" ht="12.15" customHeight="1" x14ac:dyDescent="0.3">
      <c r="A121" s="12" t="s">
        <v>91</v>
      </c>
      <c r="B121" s="5" t="s">
        <v>157</v>
      </c>
      <c r="C121" s="273">
        <f t="shared" si="25"/>
        <v>54494902</v>
      </c>
      <c r="D121" s="639">
        <v>1556906</v>
      </c>
      <c r="E121" s="214"/>
      <c r="F121" s="214"/>
      <c r="G121" s="214"/>
      <c r="H121" s="214"/>
      <c r="I121" s="214">
        <v>52937996</v>
      </c>
    </row>
    <row r="122" spans="1:9" ht="12.15" customHeight="1" x14ac:dyDescent="0.3">
      <c r="A122" s="12" t="s">
        <v>92</v>
      </c>
      <c r="B122" s="9" t="s">
        <v>297</v>
      </c>
      <c r="C122" s="274">
        <f t="shared" si="25"/>
        <v>1200000</v>
      </c>
      <c r="D122" s="1005"/>
      <c r="E122" s="214"/>
      <c r="F122" s="214"/>
      <c r="G122" s="214"/>
      <c r="H122" s="214"/>
      <c r="I122" s="214">
        <v>1200000</v>
      </c>
    </row>
    <row r="123" spans="1:9" ht="12.15" customHeight="1" x14ac:dyDescent="0.3">
      <c r="A123" s="12" t="s">
        <v>93</v>
      </c>
      <c r="B123" s="9" t="s">
        <v>138</v>
      </c>
      <c r="C123" s="274">
        <f t="shared" si="25"/>
        <v>0</v>
      </c>
      <c r="D123" s="246"/>
      <c r="E123" s="114"/>
      <c r="F123" s="114"/>
      <c r="G123" s="114"/>
      <c r="H123" s="114"/>
      <c r="I123" s="114"/>
    </row>
    <row r="124" spans="1:9" ht="12.15" customHeight="1" x14ac:dyDescent="0.3">
      <c r="A124" s="12" t="s">
        <v>94</v>
      </c>
      <c r="B124" s="9" t="s">
        <v>298</v>
      </c>
      <c r="C124" s="274">
        <f t="shared" si="25"/>
        <v>0</v>
      </c>
      <c r="D124" s="246"/>
      <c r="E124" s="468"/>
      <c r="F124" s="246"/>
      <c r="G124" s="246"/>
      <c r="H124" s="246"/>
      <c r="I124" s="246"/>
    </row>
    <row r="125" spans="1:9" ht="12.15" customHeight="1" x14ac:dyDescent="0.3">
      <c r="A125" s="12" t="s">
        <v>95</v>
      </c>
      <c r="B125" s="107" t="s">
        <v>159</v>
      </c>
      <c r="C125" s="246">
        <f>SUM(C126:C133)</f>
        <v>0</v>
      </c>
      <c r="D125" s="246">
        <f t="shared" ref="D125:I125" si="30">SUM(D126:D133)</f>
        <v>0</v>
      </c>
      <c r="E125" s="246">
        <f t="shared" si="30"/>
        <v>0</v>
      </c>
      <c r="F125" s="246">
        <f t="shared" si="30"/>
        <v>0</v>
      </c>
      <c r="G125" s="246">
        <f t="shared" si="30"/>
        <v>0</v>
      </c>
      <c r="H125" s="246">
        <f t="shared" si="30"/>
        <v>0</v>
      </c>
      <c r="I125" s="246">
        <f t="shared" si="30"/>
        <v>0</v>
      </c>
    </row>
    <row r="126" spans="1:9" ht="12.15" customHeight="1" x14ac:dyDescent="0.3">
      <c r="A126" s="12" t="s">
        <v>104</v>
      </c>
      <c r="B126" s="106" t="s">
        <v>358</v>
      </c>
      <c r="C126" s="277">
        <f t="shared" ref="C126:C160" si="31">SUM(D126:I126)</f>
        <v>0</v>
      </c>
      <c r="D126" s="99"/>
      <c r="E126" s="99"/>
      <c r="F126" s="246"/>
      <c r="G126" s="246"/>
      <c r="H126" s="246"/>
      <c r="I126" s="246"/>
    </row>
    <row r="127" spans="1:9" ht="12.15" customHeight="1" x14ac:dyDescent="0.3">
      <c r="A127" s="12" t="s">
        <v>106</v>
      </c>
      <c r="B127" s="177" t="s">
        <v>303</v>
      </c>
      <c r="C127" s="277">
        <f t="shared" si="31"/>
        <v>0</v>
      </c>
      <c r="D127" s="99"/>
      <c r="E127" s="99"/>
      <c r="F127" s="246"/>
      <c r="G127" s="246"/>
      <c r="H127" s="246"/>
      <c r="I127" s="246"/>
    </row>
    <row r="128" spans="1:9" x14ac:dyDescent="0.3">
      <c r="A128" s="12" t="s">
        <v>139</v>
      </c>
      <c r="B128" s="59" t="s">
        <v>286</v>
      </c>
      <c r="C128" s="277">
        <f t="shared" si="31"/>
        <v>0</v>
      </c>
      <c r="D128" s="99"/>
      <c r="E128" s="99"/>
      <c r="F128" s="246"/>
      <c r="G128" s="246"/>
      <c r="H128" s="246"/>
      <c r="I128" s="246"/>
    </row>
    <row r="129" spans="1:9" ht="12.15" customHeight="1" x14ac:dyDescent="0.3">
      <c r="A129" s="12" t="s">
        <v>140</v>
      </c>
      <c r="B129" s="59" t="s">
        <v>302</v>
      </c>
      <c r="C129" s="274">
        <f t="shared" si="31"/>
        <v>0</v>
      </c>
      <c r="D129" s="99"/>
      <c r="E129" s="99"/>
      <c r="F129" s="246"/>
      <c r="G129" s="246"/>
      <c r="H129" s="246"/>
      <c r="I129" s="246"/>
    </row>
    <row r="130" spans="1:9" ht="12.15" customHeight="1" x14ac:dyDescent="0.3">
      <c r="A130" s="12" t="s">
        <v>141</v>
      </c>
      <c r="B130" s="59" t="s">
        <v>301</v>
      </c>
      <c r="C130" s="277">
        <f t="shared" si="31"/>
        <v>0</v>
      </c>
      <c r="D130" s="99"/>
      <c r="E130" s="99"/>
      <c r="F130" s="246"/>
      <c r="G130" s="246"/>
      <c r="H130" s="246"/>
      <c r="I130" s="246"/>
    </row>
    <row r="131" spans="1:9" ht="12.15" customHeight="1" x14ac:dyDescent="0.3">
      <c r="A131" s="12" t="s">
        <v>294</v>
      </c>
      <c r="B131" s="59" t="s">
        <v>289</v>
      </c>
      <c r="C131" s="277">
        <f t="shared" si="31"/>
        <v>0</v>
      </c>
      <c r="D131" s="99"/>
      <c r="E131" s="99"/>
      <c r="F131" s="246"/>
      <c r="G131" s="246"/>
      <c r="H131" s="246"/>
      <c r="I131" s="246"/>
    </row>
    <row r="132" spans="1:9" ht="12.15" customHeight="1" x14ac:dyDescent="0.3">
      <c r="A132" s="12" t="s">
        <v>295</v>
      </c>
      <c r="B132" s="59" t="s">
        <v>300</v>
      </c>
      <c r="C132" s="277">
        <f t="shared" si="31"/>
        <v>0</v>
      </c>
      <c r="D132" s="99"/>
      <c r="E132" s="99"/>
      <c r="F132" s="246"/>
      <c r="G132" s="246"/>
      <c r="H132" s="246"/>
      <c r="I132" s="246"/>
    </row>
    <row r="133" spans="1:9" ht="16.2" thickBot="1" x14ac:dyDescent="0.35">
      <c r="A133" s="10" t="s">
        <v>296</v>
      </c>
      <c r="B133" s="59" t="s">
        <v>299</v>
      </c>
      <c r="C133" s="631">
        <f t="shared" si="31"/>
        <v>0</v>
      </c>
      <c r="D133" s="249"/>
      <c r="E133" s="249"/>
      <c r="F133" s="249"/>
      <c r="G133" s="249"/>
      <c r="H133" s="249"/>
      <c r="I133" s="249"/>
    </row>
    <row r="134" spans="1:9" ht="12.15" customHeight="1" thickBot="1" x14ac:dyDescent="0.35">
      <c r="A134" s="17" t="s">
        <v>18</v>
      </c>
      <c r="B134" s="54" t="s">
        <v>406</v>
      </c>
      <c r="C134" s="110">
        <f t="shared" si="31"/>
        <v>1455576314</v>
      </c>
      <c r="D134" s="255">
        <f t="shared" ref="D134:I134" si="32">+D99+D120</f>
        <v>109632074</v>
      </c>
      <c r="E134" s="110">
        <f t="shared" si="32"/>
        <v>0</v>
      </c>
      <c r="F134" s="110">
        <f t="shared" si="32"/>
        <v>0</v>
      </c>
      <c r="G134" s="110">
        <f t="shared" si="32"/>
        <v>2000000</v>
      </c>
      <c r="H134" s="110">
        <f t="shared" si="32"/>
        <v>0</v>
      </c>
      <c r="I134" s="110">
        <f t="shared" si="32"/>
        <v>1343944240</v>
      </c>
    </row>
    <row r="135" spans="1:9" ht="12.15" customHeight="1" thickBot="1" x14ac:dyDescent="0.35">
      <c r="A135" s="17" t="s">
        <v>19</v>
      </c>
      <c r="B135" s="54" t="s">
        <v>407</v>
      </c>
      <c r="C135" s="110">
        <f t="shared" si="31"/>
        <v>1668000</v>
      </c>
      <c r="D135" s="255">
        <f t="shared" ref="D135:I135" si="33">+D136+D137+D138</f>
        <v>1668000</v>
      </c>
      <c r="E135" s="110">
        <f t="shared" si="33"/>
        <v>0</v>
      </c>
      <c r="F135" s="110">
        <f t="shared" si="33"/>
        <v>0</v>
      </c>
      <c r="G135" s="110">
        <f t="shared" si="33"/>
        <v>0</v>
      </c>
      <c r="H135" s="110">
        <f t="shared" si="33"/>
        <v>0</v>
      </c>
      <c r="I135" s="110">
        <f t="shared" si="33"/>
        <v>0</v>
      </c>
    </row>
    <row r="136" spans="1:9" ht="12.15" customHeight="1" x14ac:dyDescent="0.3">
      <c r="A136" s="12" t="s">
        <v>195</v>
      </c>
      <c r="B136" s="9" t="s">
        <v>408</v>
      </c>
      <c r="C136" s="176">
        <f t="shared" si="31"/>
        <v>1668000</v>
      </c>
      <c r="D136" s="246">
        <v>1668000</v>
      </c>
      <c r="E136" s="246"/>
      <c r="F136" s="246"/>
      <c r="G136" s="246"/>
      <c r="H136" s="246"/>
      <c r="I136" s="246"/>
    </row>
    <row r="137" spans="1:9" ht="12.15" customHeight="1" x14ac:dyDescent="0.3">
      <c r="A137" s="12" t="s">
        <v>198</v>
      </c>
      <c r="B137" s="9" t="s">
        <v>409</v>
      </c>
      <c r="C137" s="277">
        <f t="shared" si="31"/>
        <v>0</v>
      </c>
      <c r="D137" s="246"/>
      <c r="E137" s="99"/>
      <c r="F137" s="99"/>
      <c r="G137" s="99"/>
      <c r="H137" s="99"/>
      <c r="I137" s="99"/>
    </row>
    <row r="138" spans="1:9" ht="12.15" customHeight="1" thickBot="1" x14ac:dyDescent="0.35">
      <c r="A138" s="10" t="s">
        <v>199</v>
      </c>
      <c r="B138" s="9" t="s">
        <v>410</v>
      </c>
      <c r="C138" s="278">
        <f t="shared" si="31"/>
        <v>0</v>
      </c>
      <c r="D138" s="99"/>
      <c r="E138" s="99"/>
      <c r="F138" s="99"/>
      <c r="G138" s="99"/>
      <c r="H138" s="99"/>
      <c r="I138" s="99"/>
    </row>
    <row r="139" spans="1:9" ht="12.15" customHeight="1" thickBot="1" x14ac:dyDescent="0.35">
      <c r="A139" s="17" t="s">
        <v>20</v>
      </c>
      <c r="B139" s="54" t="s">
        <v>411</v>
      </c>
      <c r="C139" s="279">
        <f t="shared" si="31"/>
        <v>0</v>
      </c>
      <c r="D139" s="255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.15" customHeight="1" x14ac:dyDescent="0.3">
      <c r="A140" s="12" t="s">
        <v>78</v>
      </c>
      <c r="B140" s="6" t="s">
        <v>412</v>
      </c>
      <c r="C140" s="176">
        <f t="shared" si="31"/>
        <v>0</v>
      </c>
      <c r="D140" s="99"/>
      <c r="E140" s="99"/>
      <c r="F140" s="99"/>
      <c r="G140" s="99"/>
      <c r="H140" s="99"/>
      <c r="I140" s="99"/>
    </row>
    <row r="141" spans="1:9" ht="12.15" customHeight="1" x14ac:dyDescent="0.3">
      <c r="A141" s="12" t="s">
        <v>79</v>
      </c>
      <c r="B141" s="6" t="s">
        <v>413</v>
      </c>
      <c r="C141" s="277">
        <f t="shared" si="31"/>
        <v>0</v>
      </c>
      <c r="D141" s="99"/>
      <c r="E141" s="99"/>
      <c r="F141" s="99"/>
      <c r="G141" s="99"/>
      <c r="H141" s="99"/>
      <c r="I141" s="99"/>
    </row>
    <row r="142" spans="1:9" ht="12.15" customHeight="1" x14ac:dyDescent="0.3">
      <c r="A142" s="12" t="s">
        <v>80</v>
      </c>
      <c r="B142" s="6" t="s">
        <v>414</v>
      </c>
      <c r="C142" s="277">
        <f t="shared" si="31"/>
        <v>0</v>
      </c>
      <c r="D142" s="99"/>
      <c r="E142" s="99"/>
      <c r="F142" s="99"/>
      <c r="G142" s="99"/>
      <c r="H142" s="99"/>
      <c r="I142" s="99"/>
    </row>
    <row r="143" spans="1:9" ht="12.15" customHeight="1" x14ac:dyDescent="0.3">
      <c r="A143" s="12" t="s">
        <v>126</v>
      </c>
      <c r="B143" s="6" t="s">
        <v>415</v>
      </c>
      <c r="C143" s="277">
        <f t="shared" si="31"/>
        <v>0</v>
      </c>
      <c r="D143" s="99"/>
      <c r="E143" s="99"/>
      <c r="F143" s="99"/>
      <c r="G143" s="99"/>
      <c r="H143" s="99"/>
      <c r="I143" s="99"/>
    </row>
    <row r="144" spans="1:9" ht="12.15" customHeight="1" x14ac:dyDescent="0.3">
      <c r="A144" s="12" t="s">
        <v>127</v>
      </c>
      <c r="B144" s="6" t="s">
        <v>416</v>
      </c>
      <c r="C144" s="277">
        <f t="shared" si="31"/>
        <v>0</v>
      </c>
      <c r="D144" s="99"/>
      <c r="E144" s="99"/>
      <c r="F144" s="99"/>
      <c r="G144" s="99"/>
      <c r="H144" s="99"/>
      <c r="I144" s="99"/>
    </row>
    <row r="145" spans="1:12" ht="12.15" customHeight="1" thickBot="1" x14ac:dyDescent="0.35">
      <c r="A145" s="10" t="s">
        <v>128</v>
      </c>
      <c r="B145" s="6" t="s">
        <v>417</v>
      </c>
      <c r="C145" s="278">
        <f t="shared" si="31"/>
        <v>0</v>
      </c>
      <c r="D145" s="99"/>
      <c r="E145" s="99"/>
      <c r="F145" s="99"/>
      <c r="G145" s="99"/>
      <c r="H145" s="99"/>
      <c r="I145" s="99"/>
    </row>
    <row r="146" spans="1:12" ht="12.15" customHeight="1" thickBot="1" x14ac:dyDescent="0.35">
      <c r="A146" s="17" t="s">
        <v>21</v>
      </c>
      <c r="B146" s="54" t="s">
        <v>418</v>
      </c>
      <c r="C146" s="110">
        <f t="shared" si="31"/>
        <v>0</v>
      </c>
      <c r="D146" s="257">
        <f t="shared" ref="D146:I146" si="34">+D147+D148+D149+D150</f>
        <v>0</v>
      </c>
      <c r="E146" s="115">
        <f t="shared" si="34"/>
        <v>0</v>
      </c>
      <c r="F146" s="115">
        <f t="shared" si="34"/>
        <v>0</v>
      </c>
      <c r="G146" s="115">
        <f t="shared" si="34"/>
        <v>0</v>
      </c>
      <c r="H146" s="115">
        <f t="shared" si="34"/>
        <v>0</v>
      </c>
      <c r="I146" s="115">
        <f t="shared" si="34"/>
        <v>0</v>
      </c>
    </row>
    <row r="147" spans="1:12" ht="12.15" customHeight="1" x14ac:dyDescent="0.3">
      <c r="A147" s="12" t="s">
        <v>81</v>
      </c>
      <c r="B147" s="6" t="s">
        <v>304</v>
      </c>
      <c r="C147" s="176">
        <f t="shared" si="31"/>
        <v>0</v>
      </c>
      <c r="D147" s="99"/>
      <c r="E147" s="99"/>
      <c r="F147" s="99"/>
      <c r="G147" s="99"/>
      <c r="H147" s="99"/>
      <c r="I147" s="99"/>
    </row>
    <row r="148" spans="1:12" ht="12.15" customHeight="1" x14ac:dyDescent="0.3">
      <c r="A148" s="12" t="s">
        <v>82</v>
      </c>
      <c r="B148" s="6" t="s">
        <v>305</v>
      </c>
      <c r="C148" s="277">
        <f t="shared" si="31"/>
        <v>0</v>
      </c>
      <c r="D148" s="99"/>
      <c r="E148" s="99"/>
      <c r="F148" s="99"/>
      <c r="G148" s="99"/>
      <c r="H148" s="99"/>
      <c r="I148" s="99"/>
    </row>
    <row r="149" spans="1:12" ht="12.15" customHeight="1" x14ac:dyDescent="0.3">
      <c r="A149" s="12" t="s">
        <v>218</v>
      </c>
      <c r="B149" s="6" t="s">
        <v>419</v>
      </c>
      <c r="C149" s="277">
        <f t="shared" si="31"/>
        <v>0</v>
      </c>
      <c r="D149" s="99"/>
      <c r="E149" s="99"/>
      <c r="F149" s="99"/>
      <c r="G149" s="99"/>
      <c r="H149" s="99"/>
      <c r="I149" s="99"/>
    </row>
    <row r="150" spans="1:12" ht="12.15" customHeight="1" thickBot="1" x14ac:dyDescent="0.35">
      <c r="A150" s="10" t="s">
        <v>219</v>
      </c>
      <c r="B150" s="4" t="s">
        <v>323</v>
      </c>
      <c r="C150" s="278">
        <f t="shared" si="31"/>
        <v>0</v>
      </c>
      <c r="D150" s="99"/>
      <c r="E150" s="99"/>
      <c r="F150" s="99"/>
      <c r="G150" s="99"/>
      <c r="H150" s="99"/>
      <c r="I150" s="99"/>
    </row>
    <row r="151" spans="1:12" ht="12.15" customHeight="1" thickBot="1" x14ac:dyDescent="0.35">
      <c r="A151" s="17" t="s">
        <v>22</v>
      </c>
      <c r="B151" s="54" t="s">
        <v>420</v>
      </c>
      <c r="C151" s="110">
        <f t="shared" si="31"/>
        <v>0</v>
      </c>
      <c r="D151" s="262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.15" customHeight="1" x14ac:dyDescent="0.3">
      <c r="A152" s="12" t="s">
        <v>83</v>
      </c>
      <c r="B152" s="6" t="s">
        <v>421</v>
      </c>
      <c r="C152" s="176">
        <f t="shared" si="31"/>
        <v>0</v>
      </c>
      <c r="D152" s="99"/>
      <c r="E152" s="99"/>
      <c r="F152" s="99"/>
      <c r="G152" s="99"/>
      <c r="H152" s="99"/>
      <c r="I152" s="99"/>
    </row>
    <row r="153" spans="1:12" ht="12.15" customHeight="1" x14ac:dyDescent="0.3">
      <c r="A153" s="12" t="s">
        <v>84</v>
      </c>
      <c r="B153" s="6" t="s">
        <v>422</v>
      </c>
      <c r="C153" s="277">
        <f t="shared" si="31"/>
        <v>0</v>
      </c>
      <c r="D153" s="99"/>
      <c r="E153" s="99"/>
      <c r="F153" s="99"/>
      <c r="G153" s="99"/>
      <c r="H153" s="99"/>
      <c r="I153" s="99"/>
    </row>
    <row r="154" spans="1:12" ht="12.15" customHeight="1" x14ac:dyDescent="0.3">
      <c r="A154" s="12" t="s">
        <v>230</v>
      </c>
      <c r="B154" s="6" t="s">
        <v>423</v>
      </c>
      <c r="C154" s="277">
        <f t="shared" si="31"/>
        <v>0</v>
      </c>
      <c r="D154" s="99"/>
      <c r="E154" s="99"/>
      <c r="F154" s="99"/>
      <c r="G154" s="99"/>
      <c r="H154" s="99"/>
      <c r="I154" s="99"/>
    </row>
    <row r="155" spans="1:12" ht="12.15" customHeight="1" x14ac:dyDescent="0.3">
      <c r="A155" s="12" t="s">
        <v>231</v>
      </c>
      <c r="B155" s="6" t="s">
        <v>424</v>
      </c>
      <c r="C155" s="277">
        <f t="shared" si="31"/>
        <v>0</v>
      </c>
      <c r="D155" s="99"/>
      <c r="E155" s="99"/>
      <c r="F155" s="99"/>
      <c r="G155" s="99"/>
      <c r="H155" s="99"/>
      <c r="I155" s="99"/>
    </row>
    <row r="156" spans="1:12" ht="12.15" customHeight="1" thickBot="1" x14ac:dyDescent="0.35">
      <c r="A156" s="12" t="s">
        <v>425</v>
      </c>
      <c r="B156" s="6" t="s">
        <v>426</v>
      </c>
      <c r="C156" s="278">
        <f t="shared" si="31"/>
        <v>0</v>
      </c>
      <c r="D156" s="100"/>
      <c r="E156" s="100"/>
      <c r="F156" s="99"/>
      <c r="G156" s="99"/>
      <c r="H156" s="99"/>
      <c r="I156" s="99"/>
    </row>
    <row r="157" spans="1:12" ht="12.15" customHeight="1" thickBot="1" x14ac:dyDescent="0.35">
      <c r="A157" s="17" t="s">
        <v>23</v>
      </c>
      <c r="B157" s="54" t="s">
        <v>427</v>
      </c>
      <c r="C157" s="110">
        <f t="shared" si="31"/>
        <v>0</v>
      </c>
      <c r="D157" s="262"/>
      <c r="E157" s="118"/>
      <c r="F157" s="241"/>
      <c r="G157" s="241"/>
      <c r="H157" s="241"/>
      <c r="I157" s="241"/>
    </row>
    <row r="158" spans="1:12" ht="12.15" customHeight="1" thickBot="1" x14ac:dyDescent="0.35">
      <c r="A158" s="17" t="s">
        <v>24</v>
      </c>
      <c r="B158" s="54" t="s">
        <v>428</v>
      </c>
      <c r="C158" s="110">
        <f t="shared" si="31"/>
        <v>0</v>
      </c>
      <c r="D158" s="262"/>
      <c r="E158" s="118"/>
      <c r="F158" s="241"/>
      <c r="G158" s="241"/>
      <c r="H158" s="241"/>
      <c r="I158" s="241"/>
    </row>
    <row r="159" spans="1:12" ht="15" customHeight="1" thickBot="1" x14ac:dyDescent="0.35">
      <c r="A159" s="17" t="s">
        <v>25</v>
      </c>
      <c r="B159" s="54" t="s">
        <v>429</v>
      </c>
      <c r="C159" s="110">
        <f t="shared" si="31"/>
        <v>1668000</v>
      </c>
      <c r="D159" s="263">
        <f t="shared" ref="D159:I159" si="35">+D135+D139+D146+D151+D157+D158</f>
        <v>1668000</v>
      </c>
      <c r="E159" s="189">
        <f t="shared" si="35"/>
        <v>0</v>
      </c>
      <c r="F159" s="189">
        <f t="shared" si="35"/>
        <v>0</v>
      </c>
      <c r="G159" s="189">
        <f t="shared" si="35"/>
        <v>0</v>
      </c>
      <c r="H159" s="189">
        <f t="shared" si="35"/>
        <v>0</v>
      </c>
      <c r="I159" s="189">
        <f t="shared" si="35"/>
        <v>0</v>
      </c>
      <c r="J159" s="190"/>
      <c r="K159" s="190"/>
      <c r="L159" s="190"/>
    </row>
    <row r="160" spans="1:12" s="179" customFormat="1" ht="12.9" customHeight="1" thickBot="1" x14ac:dyDescent="0.3">
      <c r="A160" s="108" t="s">
        <v>26</v>
      </c>
      <c r="B160" s="166" t="s">
        <v>430</v>
      </c>
      <c r="C160" s="110">
        <f t="shared" si="31"/>
        <v>1457244314</v>
      </c>
      <c r="D160" s="263">
        <f t="shared" ref="D160:I160" si="36">+D134+D159</f>
        <v>111300074</v>
      </c>
      <c r="E160" s="189">
        <f t="shared" si="36"/>
        <v>0</v>
      </c>
      <c r="F160" s="189">
        <f t="shared" si="36"/>
        <v>0</v>
      </c>
      <c r="G160" s="189">
        <f t="shared" si="36"/>
        <v>2000000</v>
      </c>
      <c r="H160" s="189">
        <f t="shared" si="36"/>
        <v>0</v>
      </c>
      <c r="I160" s="189">
        <f t="shared" si="36"/>
        <v>1343944240</v>
      </c>
    </row>
    <row r="161" spans="1:4" x14ac:dyDescent="0.3">
      <c r="A161" s="1279" t="s">
        <v>306</v>
      </c>
      <c r="B161" s="1279"/>
      <c r="C161" s="1279"/>
    </row>
    <row r="162" spans="1:4" ht="15" customHeight="1" thickBot="1" x14ac:dyDescent="0.35">
      <c r="A162" s="1282" t="s">
        <v>116</v>
      </c>
      <c r="B162" s="1282"/>
      <c r="C162" s="119" t="s">
        <v>483</v>
      </c>
    </row>
    <row r="163" spans="1:4" ht="13.65" customHeight="1" thickBot="1" x14ac:dyDescent="0.35">
      <c r="A163" s="17">
        <v>1</v>
      </c>
      <c r="B163" s="22" t="s">
        <v>431</v>
      </c>
      <c r="C163" s="110">
        <f>+C69-C134</f>
        <v>-180130882</v>
      </c>
    </row>
    <row r="164" spans="1:4" ht="16.2" thickBot="1" x14ac:dyDescent="0.35">
      <c r="A164" s="17" t="s">
        <v>17</v>
      </c>
      <c r="B164" s="22" t="s">
        <v>693</v>
      </c>
      <c r="C164" s="110">
        <f>+C93-C159</f>
        <v>87698856</v>
      </c>
    </row>
    <row r="167" spans="1:4" x14ac:dyDescent="0.3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69" max="16383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I12" sqref="I12"/>
    </sheetView>
  </sheetViews>
  <sheetFormatPr defaultColWidth="9.33203125" defaultRowHeight="13.2" x14ac:dyDescent="0.25"/>
  <cols>
    <col min="1" max="1" width="5.77734375" style="527" customWidth="1"/>
    <col min="2" max="2" width="54.77734375" style="301" customWidth="1"/>
    <col min="3" max="4" width="17.6640625" style="301" customWidth="1"/>
    <col min="5" max="16384" width="9.33203125" style="301"/>
  </cols>
  <sheetData>
    <row r="1" spans="1:9" ht="12.75" customHeight="1" x14ac:dyDescent="0.25">
      <c r="A1" s="1377" t="str">
        <f>CONCATENATE("38. melléklet ",ALAPADATOK!A7," ",ALAPADATOK!B7," ",ALAPADATOK!C7," ",ALAPADATOK!D7," ",ALAPADATOK!E7," ",ALAPADATOK!F7," ",ALAPADATOK!G7," ",ALAPADATOK!H7)</f>
        <v>38. melléklet a …. / 2024. ( .... ) önkormányzati rendelethez</v>
      </c>
      <c r="B1" s="1377"/>
      <c r="C1" s="1377"/>
      <c r="D1" s="1377"/>
      <c r="E1" s="31"/>
      <c r="F1" s="31"/>
      <c r="G1" s="31"/>
      <c r="H1" s="31"/>
      <c r="I1" s="31"/>
    </row>
    <row r="2" spans="1:9" ht="12.75" customHeight="1" x14ac:dyDescent="0.25">
      <c r="A2" s="1377" t="s">
        <v>919</v>
      </c>
      <c r="B2" s="1377"/>
      <c r="C2" s="1377"/>
      <c r="D2" s="1377"/>
      <c r="E2" s="31"/>
      <c r="F2" s="31"/>
      <c r="G2" s="31"/>
      <c r="H2" s="31"/>
      <c r="I2" s="31"/>
    </row>
    <row r="4" spans="1:9" ht="15.6" x14ac:dyDescent="0.3">
      <c r="B4" s="1386" t="s">
        <v>927</v>
      </c>
      <c r="C4" s="1386"/>
      <c r="D4" s="1386"/>
    </row>
    <row r="5" spans="1:9" s="33" customFormat="1" ht="14.4" thickBot="1" x14ac:dyDescent="0.3">
      <c r="A5" s="420"/>
      <c r="B5" s="972" t="s">
        <v>972</v>
      </c>
      <c r="D5" s="421" t="s">
        <v>485</v>
      </c>
    </row>
    <row r="6" spans="1:9" s="607" customFormat="1" ht="48.15" customHeight="1" thickBot="1" x14ac:dyDescent="0.3">
      <c r="A6" s="422" t="s">
        <v>14</v>
      </c>
      <c r="B6" s="418" t="s">
        <v>15</v>
      </c>
      <c r="C6" s="418" t="s">
        <v>522</v>
      </c>
      <c r="D6" s="419" t="s">
        <v>523</v>
      </c>
    </row>
    <row r="7" spans="1:9" s="607" customFormat="1" ht="14.1" customHeight="1" thickBot="1" x14ac:dyDescent="0.3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5">
      <c r="A8" s="423" t="s">
        <v>16</v>
      </c>
      <c r="B8" s="424" t="s">
        <v>524</v>
      </c>
      <c r="C8" s="425"/>
      <c r="D8" s="426"/>
    </row>
    <row r="9" spans="1:9" ht="18" customHeight="1" x14ac:dyDescent="0.25">
      <c r="A9" s="427" t="s">
        <v>17</v>
      </c>
      <c r="B9" s="428" t="s">
        <v>525</v>
      </c>
      <c r="C9" s="429"/>
      <c r="D9" s="36"/>
    </row>
    <row r="10" spans="1:9" ht="18" customHeight="1" x14ac:dyDescent="0.25">
      <c r="A10" s="427" t="s">
        <v>18</v>
      </c>
      <c r="B10" s="428" t="s">
        <v>526</v>
      </c>
      <c r="C10" s="429"/>
      <c r="D10" s="36"/>
    </row>
    <row r="11" spans="1:9" ht="18" customHeight="1" x14ac:dyDescent="0.25">
      <c r="A11" s="427" t="s">
        <v>19</v>
      </c>
      <c r="B11" s="428" t="s">
        <v>527</v>
      </c>
      <c r="C11" s="429"/>
      <c r="D11" s="36"/>
    </row>
    <row r="12" spans="1:9" ht="18" customHeight="1" x14ac:dyDescent="0.25">
      <c r="A12" s="427" t="s">
        <v>20</v>
      </c>
      <c r="B12" s="428" t="s">
        <v>528</v>
      </c>
      <c r="C12" s="430">
        <f>SUM(C13:C18)</f>
        <v>0</v>
      </c>
      <c r="D12" s="431">
        <f>SUM(D13:D18)</f>
        <v>0</v>
      </c>
    </row>
    <row r="13" spans="1:9" ht="18" customHeight="1" x14ac:dyDescent="0.25">
      <c r="A13" s="427" t="s">
        <v>21</v>
      </c>
      <c r="B13" s="428" t="s">
        <v>529</v>
      </c>
      <c r="C13" s="429"/>
      <c r="D13" s="36"/>
    </row>
    <row r="14" spans="1:9" ht="18" customHeight="1" x14ac:dyDescent="0.25">
      <c r="A14" s="427" t="s">
        <v>22</v>
      </c>
      <c r="B14" s="432" t="s">
        <v>530</v>
      </c>
      <c r="C14" s="429"/>
      <c r="D14" s="36"/>
    </row>
    <row r="15" spans="1:9" ht="18" customHeight="1" x14ac:dyDescent="0.25">
      <c r="A15" s="427" t="s">
        <v>24</v>
      </c>
      <c r="B15" s="432" t="s">
        <v>531</v>
      </c>
      <c r="C15" s="429"/>
      <c r="D15" s="433"/>
    </row>
    <row r="16" spans="1:9" ht="18" customHeight="1" x14ac:dyDescent="0.25">
      <c r="A16" s="427" t="s">
        <v>25</v>
      </c>
      <c r="B16" s="432" t="s">
        <v>532</v>
      </c>
      <c r="C16" s="429"/>
      <c r="D16" s="36"/>
    </row>
    <row r="17" spans="1:4" ht="18" customHeight="1" x14ac:dyDescent="0.25">
      <c r="A17" s="427" t="s">
        <v>26</v>
      </c>
      <c r="B17" s="432" t="s">
        <v>533</v>
      </c>
      <c r="C17" s="429"/>
      <c r="D17" s="36"/>
    </row>
    <row r="18" spans="1:4" ht="22.65" customHeight="1" x14ac:dyDescent="0.25">
      <c r="A18" s="427" t="s">
        <v>27</v>
      </c>
      <c r="B18" s="432" t="s">
        <v>534</v>
      </c>
      <c r="C18" s="429"/>
      <c r="D18" s="36"/>
    </row>
    <row r="19" spans="1:4" ht="18" customHeight="1" x14ac:dyDescent="0.25">
      <c r="A19" s="427" t="s">
        <v>28</v>
      </c>
      <c r="B19" s="428" t="s">
        <v>535</v>
      </c>
      <c r="C19" s="429"/>
      <c r="D19" s="36"/>
    </row>
    <row r="20" spans="1:4" ht="18" customHeight="1" x14ac:dyDescent="0.25">
      <c r="A20" s="427" t="s">
        <v>29</v>
      </c>
      <c r="B20" s="428" t="s">
        <v>536</v>
      </c>
      <c r="C20" s="429"/>
      <c r="D20" s="36"/>
    </row>
    <row r="21" spans="1:4" ht="18" customHeight="1" x14ac:dyDescent="0.25">
      <c r="A21" s="427" t="s">
        <v>30</v>
      </c>
      <c r="B21" s="428" t="s">
        <v>537</v>
      </c>
      <c r="C21" s="429"/>
      <c r="D21" s="36"/>
    </row>
    <row r="22" spans="1:4" ht="18" customHeight="1" x14ac:dyDescent="0.25">
      <c r="A22" s="427" t="s">
        <v>31</v>
      </c>
      <c r="B22" s="428" t="s">
        <v>538</v>
      </c>
      <c r="C22" s="429"/>
      <c r="D22" s="36"/>
    </row>
    <row r="23" spans="1:4" ht="18" customHeight="1" x14ac:dyDescent="0.25">
      <c r="A23" s="427" t="s">
        <v>32</v>
      </c>
      <c r="B23" s="428" t="s">
        <v>539</v>
      </c>
      <c r="C23" s="429"/>
      <c r="D23" s="36"/>
    </row>
    <row r="24" spans="1:4" ht="18" customHeight="1" x14ac:dyDescent="0.25">
      <c r="A24" s="427" t="s">
        <v>33</v>
      </c>
      <c r="B24" s="434"/>
      <c r="C24" s="35"/>
      <c r="D24" s="36"/>
    </row>
    <row r="25" spans="1:4" ht="18" customHeight="1" x14ac:dyDescent="0.25">
      <c r="A25" s="427" t="s">
        <v>34</v>
      </c>
      <c r="B25" s="435"/>
      <c r="C25" s="35"/>
      <c r="D25" s="36"/>
    </row>
    <row r="26" spans="1:4" ht="18" customHeight="1" x14ac:dyDescent="0.25">
      <c r="A26" s="427" t="s">
        <v>35</v>
      </c>
      <c r="B26" s="435"/>
      <c r="C26" s="35"/>
      <c r="D26" s="36"/>
    </row>
    <row r="27" spans="1:4" ht="18" customHeight="1" x14ac:dyDescent="0.25">
      <c r="A27" s="427" t="s">
        <v>36</v>
      </c>
      <c r="B27" s="435"/>
      <c r="C27" s="35"/>
      <c r="D27" s="36"/>
    </row>
    <row r="28" spans="1:4" ht="18" customHeight="1" x14ac:dyDescent="0.25">
      <c r="A28" s="427" t="s">
        <v>37</v>
      </c>
      <c r="B28" s="435"/>
      <c r="C28" s="35"/>
      <c r="D28" s="36"/>
    </row>
    <row r="29" spans="1:4" ht="18" customHeight="1" x14ac:dyDescent="0.25">
      <c r="A29" s="427" t="s">
        <v>38</v>
      </c>
      <c r="B29" s="435"/>
      <c r="C29" s="35"/>
      <c r="D29" s="36"/>
    </row>
    <row r="30" spans="1:4" ht="18" customHeight="1" x14ac:dyDescent="0.25">
      <c r="A30" s="427" t="s">
        <v>39</v>
      </c>
      <c r="B30" s="435"/>
      <c r="C30" s="35"/>
      <c r="D30" s="36"/>
    </row>
    <row r="31" spans="1:4" ht="18" customHeight="1" x14ac:dyDescent="0.25">
      <c r="A31" s="427" t="s">
        <v>40</v>
      </c>
      <c r="B31" s="435"/>
      <c r="C31" s="35"/>
      <c r="D31" s="36"/>
    </row>
    <row r="32" spans="1:4" ht="18" customHeight="1" thickBot="1" x14ac:dyDescent="0.3">
      <c r="A32" s="436" t="s">
        <v>41</v>
      </c>
      <c r="B32" s="437"/>
      <c r="C32" s="438"/>
      <c r="D32" s="633"/>
    </row>
    <row r="33" spans="1:4" ht="18" customHeight="1" thickBot="1" x14ac:dyDescent="0.3">
      <c r="A33" s="74" t="s">
        <v>42</v>
      </c>
      <c r="B33" s="439" t="s">
        <v>49</v>
      </c>
      <c r="C33" s="440">
        <f>+C8+C9+C10+C11+C12+C19+C20+C21+C22+C23+C24+C25+C26+C27+C28+C29+C30+C31+C32</f>
        <v>0</v>
      </c>
      <c r="D33" s="441">
        <f>+D8+D9+D10+D11+D12+D19+D20+D21+D22+D23+D24+D25+D26+D27+D28+D29+D30+D31+D32</f>
        <v>0</v>
      </c>
    </row>
    <row r="34" spans="1:4" ht="8.4" customHeight="1" x14ac:dyDescent="0.25">
      <c r="A34" s="642"/>
      <c r="B34" s="1387"/>
      <c r="C34" s="1387"/>
      <c r="D34" s="1387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R84"/>
  <sheetViews>
    <sheetView topLeftCell="D1" zoomScalePageLayoutView="85" workbookViewId="0">
      <selection activeCell="P1" sqref="P1:R1048576"/>
    </sheetView>
  </sheetViews>
  <sheetFormatPr defaultColWidth="9.33203125" defaultRowHeight="15.6" x14ac:dyDescent="0.3"/>
  <cols>
    <col min="1" max="1" width="7.77734375" style="40" customWidth="1"/>
    <col min="2" max="2" width="31.109375" style="397" customWidth="1"/>
    <col min="3" max="13" width="12.44140625" style="397" customWidth="1"/>
    <col min="14" max="14" width="15.44140625" style="397" customWidth="1"/>
    <col min="15" max="15" width="12.44140625" style="40" customWidth="1"/>
    <col min="16" max="16" width="14.6640625" style="606" hidden="1" customWidth="1"/>
    <col min="17" max="17" width="16.6640625" style="606" hidden="1" customWidth="1"/>
    <col min="18" max="18" width="9.33203125" style="397" hidden="1" customWidth="1"/>
    <col min="19" max="19" width="11" style="397" bestFit="1" customWidth="1"/>
    <col min="20" max="16384" width="9.33203125" style="397"/>
  </cols>
  <sheetData>
    <row r="1" spans="1:17" x14ac:dyDescent="0.3">
      <c r="A1" s="1388" t="str">
        <f>CONCATENATE("24. melléklet ",ALAPADATOK!A7," ",ALAPADATOK!B7," ",ALAPADATOK!C7," ",ALAPADATOK!D7," ",ALAPADATOK!E7," ",ALAPADATOK!F7," ",ALAPADATOK!G7," ",ALAPADATOK!H7)</f>
        <v>24. melléklet a …. / 2024. ( .... ) önkormányzati rendelethez</v>
      </c>
      <c r="B1" s="1388"/>
      <c r="C1" s="1388"/>
      <c r="D1" s="1388"/>
      <c r="E1" s="1388"/>
      <c r="F1" s="1388"/>
      <c r="G1" s="1388"/>
      <c r="H1" s="1388"/>
      <c r="I1" s="1388"/>
      <c r="J1" s="1388"/>
      <c r="K1" s="1388"/>
      <c r="L1" s="1388"/>
      <c r="M1" s="1388"/>
      <c r="N1" s="1388"/>
      <c r="O1" s="1388"/>
    </row>
    <row r="2" spans="1:17" x14ac:dyDescent="0.3">
      <c r="A2" s="643"/>
      <c r="B2" s="643"/>
      <c r="C2" s="643"/>
      <c r="D2" s="643"/>
      <c r="E2" s="643"/>
      <c r="F2" s="643"/>
      <c r="G2" s="643"/>
      <c r="H2" s="643"/>
      <c r="I2" s="643"/>
      <c r="J2" s="643"/>
      <c r="K2" s="643"/>
      <c r="L2" s="643"/>
      <c r="M2" s="643"/>
      <c r="N2" s="643"/>
      <c r="O2" s="967" t="s">
        <v>920</v>
      </c>
    </row>
    <row r="3" spans="1:17" ht="17.399999999999999" x14ac:dyDescent="0.3">
      <c r="A3" s="1389" t="s">
        <v>1029</v>
      </c>
      <c r="B3" s="1390"/>
      <c r="C3" s="1390"/>
      <c r="D3" s="1390"/>
      <c r="E3" s="1390"/>
      <c r="F3" s="1390"/>
      <c r="G3" s="1390"/>
      <c r="H3" s="1390"/>
      <c r="I3" s="1390"/>
      <c r="J3" s="1390"/>
      <c r="K3" s="1390"/>
      <c r="L3" s="1390"/>
      <c r="M3" s="1390"/>
      <c r="N3" s="1390"/>
      <c r="O3" s="1390"/>
    </row>
    <row r="4" spans="1:17" ht="36" customHeight="1" thickBot="1" x14ac:dyDescent="0.35">
      <c r="A4" s="1389"/>
      <c r="B4" s="1389"/>
      <c r="C4" s="1389"/>
      <c r="D4" s="1389"/>
      <c r="E4" s="1389"/>
      <c r="F4" s="1389"/>
      <c r="G4" s="1389"/>
      <c r="H4" s="1389"/>
      <c r="I4" s="1389"/>
      <c r="J4" s="1389"/>
      <c r="K4" s="1389"/>
      <c r="L4" s="1389"/>
      <c r="M4" s="1389"/>
      <c r="N4" s="1389"/>
      <c r="O4" s="1389"/>
    </row>
    <row r="5" spans="1:17" ht="16.2" thickBot="1" x14ac:dyDescent="0.35">
      <c r="A5" s="303" t="s">
        <v>691</v>
      </c>
      <c r="B5" s="304" t="s">
        <v>57</v>
      </c>
      <c r="C5" s="304" t="s">
        <v>64</v>
      </c>
      <c r="D5" s="304" t="s">
        <v>65</v>
      </c>
      <c r="E5" s="304" t="s">
        <v>66</v>
      </c>
      <c r="F5" s="304" t="s">
        <v>67</v>
      </c>
      <c r="G5" s="304" t="s">
        <v>68</v>
      </c>
      <c r="H5" s="304" t="s">
        <v>69</v>
      </c>
      <c r="I5" s="304" t="s">
        <v>70</v>
      </c>
      <c r="J5" s="304" t="s">
        <v>865</v>
      </c>
      <c r="K5" s="304" t="s">
        <v>866</v>
      </c>
      <c r="L5" s="304" t="s">
        <v>867</v>
      </c>
      <c r="M5" s="304" t="s">
        <v>868</v>
      </c>
      <c r="N5" s="304" t="s">
        <v>869</v>
      </c>
      <c r="O5" s="305" t="s">
        <v>49</v>
      </c>
    </row>
    <row r="6" spans="1:17" s="42" customFormat="1" ht="15" customHeight="1" thickBot="1" x14ac:dyDescent="0.3">
      <c r="A6" s="41" t="s">
        <v>16</v>
      </c>
      <c r="B6" s="1391" t="s">
        <v>870</v>
      </c>
      <c r="C6" s="1392"/>
      <c r="D6" s="1392"/>
      <c r="E6" s="1392"/>
      <c r="F6" s="1392"/>
      <c r="G6" s="1392"/>
      <c r="H6" s="1392"/>
      <c r="I6" s="1392"/>
      <c r="J6" s="1392"/>
      <c r="K6" s="1392"/>
      <c r="L6" s="1392"/>
      <c r="M6" s="1392"/>
      <c r="N6" s="1392"/>
      <c r="O6" s="1393"/>
      <c r="P6" s="338"/>
      <c r="Q6" s="338"/>
    </row>
    <row r="7" spans="1:17" s="42" customFormat="1" x14ac:dyDescent="0.25">
      <c r="A7" s="43" t="s">
        <v>17</v>
      </c>
      <c r="B7" s="216" t="s">
        <v>307</v>
      </c>
      <c r="C7" s="248">
        <f>13000000+189422705</f>
        <v>202422705</v>
      </c>
      <c r="D7" s="248">
        <f>189422705+3058230</f>
        <v>192480935</v>
      </c>
      <c r="E7" s="248">
        <v>189422705</v>
      </c>
      <c r="F7" s="248">
        <v>189422705</v>
      </c>
      <c r="G7" s="248">
        <v>189422705</v>
      </c>
      <c r="H7" s="248">
        <v>189422705</v>
      </c>
      <c r="I7" s="248">
        <v>189422705</v>
      </c>
      <c r="J7" s="248">
        <v>189422705</v>
      </c>
      <c r="K7" s="248">
        <v>189422705</v>
      </c>
      <c r="L7" s="248">
        <v>189422705</v>
      </c>
      <c r="M7" s="248">
        <v>189422705</v>
      </c>
      <c r="N7" s="248">
        <f>67733205+189422705</f>
        <v>257155910</v>
      </c>
      <c r="O7" s="341">
        <f t="shared" ref="O7:O15" si="0">SUM(C7:N7)</f>
        <v>2356863895</v>
      </c>
      <c r="P7" s="339">
        <f>'1. sz.mell. '!C11</f>
        <v>2356863895</v>
      </c>
      <c r="Q7" s="340">
        <f t="shared" ref="Q7:Q28" si="1">O7-P7</f>
        <v>0</v>
      </c>
    </row>
    <row r="8" spans="1:17" s="46" customFormat="1" x14ac:dyDescent="0.25">
      <c r="A8" s="44" t="s">
        <v>18</v>
      </c>
      <c r="B8" s="103" t="s">
        <v>349</v>
      </c>
      <c r="C8" s="230">
        <f>4116000+15617397</f>
        <v>19733397</v>
      </c>
      <c r="D8" s="230">
        <f>4116000+63873000+15617397+37499</f>
        <v>83643896</v>
      </c>
      <c r="E8" s="230">
        <f>230080892+4116000+15617397</f>
        <v>249814289</v>
      </c>
      <c r="F8" s="230">
        <f>4116000+15617397</f>
        <v>19733397</v>
      </c>
      <c r="G8" s="230">
        <f>4116000+15617397+22497060</f>
        <v>42230457</v>
      </c>
      <c r="H8" s="230">
        <f>4116000+16049767+15617397</f>
        <v>35783164</v>
      </c>
      <c r="I8" s="230">
        <f>4116000+15617397</f>
        <v>19733397</v>
      </c>
      <c r="J8" s="230">
        <f>4116000+15617397</f>
        <v>19733397</v>
      </c>
      <c r="K8" s="230">
        <f>4116000+15617397</f>
        <v>19733397</v>
      </c>
      <c r="L8" s="230">
        <f>4116000+15617397</f>
        <v>19733397</v>
      </c>
      <c r="M8" s="230">
        <f>4116000+15617397</f>
        <v>19733397</v>
      </c>
      <c r="N8" s="230">
        <f>4116000+15617398</f>
        <v>19733398</v>
      </c>
      <c r="O8" s="341">
        <f t="shared" si="0"/>
        <v>569338983</v>
      </c>
      <c r="P8" s="342">
        <f>'1. sz.mell. '!C20</f>
        <v>569338983</v>
      </c>
      <c r="Q8" s="343">
        <f t="shared" si="1"/>
        <v>0</v>
      </c>
    </row>
    <row r="9" spans="1:17" s="46" customFormat="1" x14ac:dyDescent="0.25">
      <c r="A9" s="44" t="s">
        <v>19</v>
      </c>
      <c r="B9" s="102" t="s">
        <v>350</v>
      </c>
      <c r="C9" s="231"/>
      <c r="D9" s="231">
        <f>9077263</f>
        <v>9077263</v>
      </c>
      <c r="E9" s="231"/>
      <c r="F9" s="231">
        <v>28877684</v>
      </c>
      <c r="G9" s="231"/>
      <c r="H9" s="231">
        <v>58702203</v>
      </c>
      <c r="I9" s="231">
        <v>92693342</v>
      </c>
      <c r="J9" s="231"/>
      <c r="K9" s="231"/>
      <c r="L9" s="231"/>
      <c r="M9" s="231"/>
      <c r="N9" s="231"/>
      <c r="O9" s="341">
        <f t="shared" si="0"/>
        <v>189350492</v>
      </c>
      <c r="P9" s="342">
        <f>'1. sz.mell. '!C27</f>
        <v>189350492</v>
      </c>
      <c r="Q9" s="343">
        <f t="shared" si="1"/>
        <v>0</v>
      </c>
    </row>
    <row r="10" spans="1:17" s="46" customFormat="1" ht="14.1" customHeight="1" x14ac:dyDescent="0.25">
      <c r="A10" s="44" t="s">
        <v>20</v>
      </c>
      <c r="B10" s="101" t="s">
        <v>125</v>
      </c>
      <c r="C10" s="230">
        <v>2000000</v>
      </c>
      <c r="D10" s="230">
        <v>2000000</v>
      </c>
      <c r="E10" s="230">
        <f>250000000-15000000</f>
        <v>235000000</v>
      </c>
      <c r="F10" s="230">
        <v>2000000</v>
      </c>
      <c r="G10" s="230">
        <f>53195000+18876479</f>
        <v>72071479</v>
      </c>
      <c r="H10" s="230">
        <v>51000000</v>
      </c>
      <c r="I10" s="230">
        <v>10000000</v>
      </c>
      <c r="J10" s="230">
        <v>12000000</v>
      </c>
      <c r="K10" s="230">
        <f>300000000-26395000</f>
        <v>273605000</v>
      </c>
      <c r="L10" s="230">
        <v>2000000</v>
      </c>
      <c r="M10" s="230">
        <v>2000000</v>
      </c>
      <c r="N10" s="230">
        <v>90000000</v>
      </c>
      <c r="O10" s="341">
        <f t="shared" si="0"/>
        <v>753676479</v>
      </c>
      <c r="P10" s="342">
        <f>'1. sz.mell. '!C34</f>
        <v>753676479</v>
      </c>
      <c r="Q10" s="343">
        <f>O10-P10</f>
        <v>0</v>
      </c>
    </row>
    <row r="11" spans="1:17" s="46" customFormat="1" ht="14.1" customHeight="1" x14ac:dyDescent="0.25">
      <c r="A11" s="44" t="s">
        <v>21</v>
      </c>
      <c r="B11" s="101" t="s">
        <v>351</v>
      </c>
      <c r="C11" s="230">
        <v>40904411</v>
      </c>
      <c r="D11" s="230">
        <v>40904411</v>
      </c>
      <c r="E11" s="230">
        <v>40904411</v>
      </c>
      <c r="F11" s="230">
        <v>40904411</v>
      </c>
      <c r="G11" s="230">
        <v>40904411</v>
      </c>
      <c r="H11" s="230">
        <f>40904411+4926197</f>
        <v>45830608</v>
      </c>
      <c r="I11" s="230">
        <v>40904411</v>
      </c>
      <c r="J11" s="230">
        <v>40904411</v>
      </c>
      <c r="K11" s="230">
        <v>40904411</v>
      </c>
      <c r="L11" s="230">
        <v>40904411</v>
      </c>
      <c r="M11" s="230">
        <v>40904411</v>
      </c>
      <c r="N11" s="230">
        <v>40904413</v>
      </c>
      <c r="O11" s="341">
        <f t="shared" si="0"/>
        <v>495779131</v>
      </c>
      <c r="P11" s="342">
        <f>'1. sz.mell. '!C41</f>
        <v>495779131</v>
      </c>
      <c r="Q11" s="343">
        <f t="shared" si="1"/>
        <v>0</v>
      </c>
    </row>
    <row r="12" spans="1:17" s="46" customFormat="1" ht="14.1" customHeight="1" x14ac:dyDescent="0.25">
      <c r="A12" s="44" t="s">
        <v>22</v>
      </c>
      <c r="B12" s="101" t="s">
        <v>9</v>
      </c>
      <c r="C12" s="230"/>
      <c r="D12" s="230">
        <v>5000000</v>
      </c>
      <c r="E12" s="230"/>
      <c r="F12" s="230"/>
      <c r="G12" s="230"/>
      <c r="H12" s="230"/>
      <c r="I12" s="230"/>
      <c r="J12" s="230"/>
      <c r="K12" s="230">
        <v>15000000</v>
      </c>
      <c r="L12" s="230"/>
      <c r="M12" s="230"/>
      <c r="N12" s="230"/>
      <c r="O12" s="341">
        <f t="shared" si="0"/>
        <v>20000000</v>
      </c>
      <c r="P12" s="342">
        <f>'1. sz.mell. '!C53</f>
        <v>20000000</v>
      </c>
      <c r="Q12" s="343">
        <f t="shared" si="1"/>
        <v>0</v>
      </c>
    </row>
    <row r="13" spans="1:17" s="46" customFormat="1" ht="14.1" customHeight="1" x14ac:dyDescent="0.25">
      <c r="A13" s="44" t="s">
        <v>23</v>
      </c>
      <c r="B13" s="101" t="s">
        <v>309</v>
      </c>
      <c r="C13" s="230"/>
      <c r="D13" s="230"/>
      <c r="E13" s="230">
        <v>1345000</v>
      </c>
      <c r="F13" s="230"/>
      <c r="G13" s="230"/>
      <c r="H13" s="230"/>
      <c r="I13" s="230"/>
      <c r="J13" s="230"/>
      <c r="K13" s="230"/>
      <c r="L13" s="230"/>
      <c r="M13" s="230"/>
      <c r="N13" s="230"/>
      <c r="O13" s="341">
        <f t="shared" si="0"/>
        <v>1345000</v>
      </c>
      <c r="P13" s="342">
        <f>'1. sz.mell. '!C59</f>
        <v>1345000</v>
      </c>
      <c r="Q13" s="343">
        <f t="shared" si="1"/>
        <v>0</v>
      </c>
    </row>
    <row r="14" spans="1:17" s="46" customFormat="1" x14ac:dyDescent="0.25">
      <c r="A14" s="44" t="s">
        <v>24</v>
      </c>
      <c r="B14" s="103" t="s">
        <v>338</v>
      </c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341">
        <f t="shared" si="0"/>
        <v>0</v>
      </c>
      <c r="P14" s="342">
        <f>'1. sz.mell. '!C64</f>
        <v>0</v>
      </c>
      <c r="Q14" s="343">
        <f t="shared" si="1"/>
        <v>0</v>
      </c>
    </row>
    <row r="15" spans="1:17" s="46" customFormat="1" ht="14.1" customHeight="1" thickBot="1" x14ac:dyDescent="0.3">
      <c r="A15" s="44" t="s">
        <v>25</v>
      </c>
      <c r="B15" s="101" t="s">
        <v>10</v>
      </c>
      <c r="C15" s="45">
        <f>91666666+1545776854</f>
        <v>1637443520</v>
      </c>
      <c r="D15" s="45">
        <v>91666666</v>
      </c>
      <c r="E15" s="45">
        <f>91666666-8803343</f>
        <v>82863323</v>
      </c>
      <c r="F15" s="45">
        <v>91666666</v>
      </c>
      <c r="G15" s="45">
        <v>91666666</v>
      </c>
      <c r="H15" s="45">
        <v>91666666</v>
      </c>
      <c r="I15" s="45">
        <v>91666667</v>
      </c>
      <c r="J15" s="45">
        <v>91666668</v>
      </c>
      <c r="K15" s="45">
        <v>91666668</v>
      </c>
      <c r="L15" s="45">
        <v>91666667</v>
      </c>
      <c r="M15" s="45">
        <v>91666667</v>
      </c>
      <c r="N15" s="45">
        <f>91666667+67733205</f>
        <v>159399872</v>
      </c>
      <c r="O15" s="341">
        <f t="shared" si="0"/>
        <v>2704706716</v>
      </c>
      <c r="P15" s="344">
        <f>'1. sz.mell. '!C93</f>
        <v>2704706716</v>
      </c>
      <c r="Q15" s="345">
        <f t="shared" si="1"/>
        <v>0</v>
      </c>
    </row>
    <row r="16" spans="1:17" s="42" customFormat="1" ht="15.9" customHeight="1" thickBot="1" x14ac:dyDescent="0.3">
      <c r="A16" s="41" t="s">
        <v>26</v>
      </c>
      <c r="B16" s="28" t="s">
        <v>96</v>
      </c>
      <c r="C16" s="47">
        <f t="shared" ref="C16:N16" si="2">SUM(C7:C15)</f>
        <v>1902504033</v>
      </c>
      <c r="D16" s="47">
        <f t="shared" si="2"/>
        <v>424773171</v>
      </c>
      <c r="E16" s="47">
        <f t="shared" si="2"/>
        <v>799349728</v>
      </c>
      <c r="F16" s="47">
        <f t="shared" si="2"/>
        <v>372604863</v>
      </c>
      <c r="G16" s="47">
        <f t="shared" si="2"/>
        <v>436295718</v>
      </c>
      <c r="H16" s="47">
        <f t="shared" si="2"/>
        <v>472405346</v>
      </c>
      <c r="I16" s="47">
        <f t="shared" si="2"/>
        <v>444420522</v>
      </c>
      <c r="J16" s="47">
        <f t="shared" si="2"/>
        <v>353727181</v>
      </c>
      <c r="K16" s="47">
        <f t="shared" si="2"/>
        <v>630332181</v>
      </c>
      <c r="L16" s="47">
        <f t="shared" si="2"/>
        <v>343727180</v>
      </c>
      <c r="M16" s="47">
        <f t="shared" si="2"/>
        <v>343727180</v>
      </c>
      <c r="N16" s="47">
        <f t="shared" si="2"/>
        <v>567193593</v>
      </c>
      <c r="O16" s="808">
        <f>SUM(C16:N16)</f>
        <v>7091060696</v>
      </c>
      <c r="P16" s="346">
        <f>SUM(P7:P15)</f>
        <v>7091060696</v>
      </c>
      <c r="Q16" s="347">
        <f t="shared" si="1"/>
        <v>0</v>
      </c>
    </row>
    <row r="17" spans="1:17" s="42" customFormat="1" ht="15" customHeight="1" thickBot="1" x14ac:dyDescent="0.3">
      <c r="A17" s="41"/>
      <c r="B17" s="1391" t="s">
        <v>871</v>
      </c>
      <c r="C17" s="1392"/>
      <c r="D17" s="1392"/>
      <c r="E17" s="1392"/>
      <c r="F17" s="1392"/>
      <c r="G17" s="1392"/>
      <c r="H17" s="1392"/>
      <c r="I17" s="1392"/>
      <c r="J17" s="1392"/>
      <c r="K17" s="1392"/>
      <c r="L17" s="1392"/>
      <c r="M17" s="1392"/>
      <c r="N17" s="1392"/>
      <c r="O17" s="1393"/>
      <c r="P17" s="338"/>
      <c r="Q17" s="348">
        <f t="shared" si="1"/>
        <v>0</v>
      </c>
    </row>
    <row r="18" spans="1:17" s="46" customFormat="1" ht="14.1" customHeight="1" thickBot="1" x14ac:dyDescent="0.3">
      <c r="A18" s="349" t="s">
        <v>27</v>
      </c>
      <c r="B18" s="350" t="s">
        <v>58</v>
      </c>
      <c r="C18" s="351">
        <v>158865432</v>
      </c>
      <c r="D18" s="351">
        <v>158865432</v>
      </c>
      <c r="E18" s="351">
        <v>158865432</v>
      </c>
      <c r="F18" s="351">
        <v>158865432</v>
      </c>
      <c r="G18" s="351">
        <f>158865432+166233</f>
        <v>159031665</v>
      </c>
      <c r="H18" s="351">
        <v>158865432</v>
      </c>
      <c r="I18" s="351">
        <v>158865432</v>
      </c>
      <c r="J18" s="351">
        <v>158865432</v>
      </c>
      <c r="K18" s="351">
        <v>158865432</v>
      </c>
      <c r="L18" s="351">
        <v>158865432</v>
      </c>
      <c r="M18" s="351">
        <v>158865432</v>
      </c>
      <c r="N18" s="351">
        <v>158865431</v>
      </c>
      <c r="O18" s="341">
        <f t="shared" ref="O18:O28" si="3">SUM(C18:N18)</f>
        <v>1906551416</v>
      </c>
      <c r="P18" s="398">
        <f>'1. sz.mell. '!C100</f>
        <v>1906551416</v>
      </c>
      <c r="Q18" s="340">
        <f t="shared" si="1"/>
        <v>0</v>
      </c>
    </row>
    <row r="19" spans="1:17" s="46" customFormat="1" ht="27" customHeight="1" thickBot="1" x14ac:dyDescent="0.3">
      <c r="A19" s="44" t="s">
        <v>28</v>
      </c>
      <c r="B19" s="103" t="s">
        <v>134</v>
      </c>
      <c r="C19" s="230">
        <v>21236625</v>
      </c>
      <c r="D19" s="230">
        <v>21236625</v>
      </c>
      <c r="E19" s="230">
        <v>21236625</v>
      </c>
      <c r="F19" s="230">
        <v>21236625</v>
      </c>
      <c r="G19" s="230">
        <v>21236625</v>
      </c>
      <c r="H19" s="230">
        <f>21236625</f>
        <v>21236625</v>
      </c>
      <c r="I19" s="230">
        <f>21236625+17516</f>
        <v>21254141</v>
      </c>
      <c r="J19" s="230">
        <v>21236625</v>
      </c>
      <c r="K19" s="230">
        <v>21236626</v>
      </c>
      <c r="L19" s="230">
        <v>21236626</v>
      </c>
      <c r="M19" s="230">
        <v>21236626</v>
      </c>
      <c r="N19" s="230">
        <v>21236626</v>
      </c>
      <c r="O19" s="341">
        <f t="shared" si="3"/>
        <v>254857020</v>
      </c>
      <c r="P19" s="398">
        <f>'1. sz.mell. '!C101</f>
        <v>254857020</v>
      </c>
      <c r="Q19" s="343">
        <f t="shared" si="1"/>
        <v>0</v>
      </c>
    </row>
    <row r="20" spans="1:17" s="46" customFormat="1" ht="14.1" customHeight="1" thickBot="1" x14ac:dyDescent="0.3">
      <c r="A20" s="44" t="s">
        <v>29</v>
      </c>
      <c r="B20" s="101" t="s">
        <v>110</v>
      </c>
      <c r="C20" s="230">
        <v>131442925</v>
      </c>
      <c r="D20" s="230">
        <v>131442925</v>
      </c>
      <c r="E20" s="230">
        <v>131442925</v>
      </c>
      <c r="F20" s="230">
        <v>131442925</v>
      </c>
      <c r="G20" s="230">
        <v>131442925</v>
      </c>
      <c r="H20" s="230">
        <f>131442925+3000000</f>
        <v>134442925</v>
      </c>
      <c r="I20" s="230">
        <f>131442925+49999+3000000</f>
        <v>134492924</v>
      </c>
      <c r="J20" s="230">
        <f>131442925+3000000</f>
        <v>134442925</v>
      </c>
      <c r="K20" s="230">
        <f>131442925+3000000</f>
        <v>134442925</v>
      </c>
      <c r="L20" s="230">
        <f>131442925+3000000</f>
        <v>134442925</v>
      </c>
      <c r="M20" s="230">
        <f>131442923+4545167</f>
        <v>135988090</v>
      </c>
      <c r="N20" s="230">
        <v>131442923</v>
      </c>
      <c r="O20" s="341">
        <f t="shared" si="3"/>
        <v>1596910262</v>
      </c>
      <c r="P20" s="398">
        <f>'1. sz.mell. '!C102</f>
        <v>1596910262</v>
      </c>
      <c r="Q20" s="343">
        <f t="shared" si="1"/>
        <v>0</v>
      </c>
    </row>
    <row r="21" spans="1:17" s="46" customFormat="1" ht="14.1" customHeight="1" x14ac:dyDescent="0.25">
      <c r="A21" s="44" t="s">
        <v>30</v>
      </c>
      <c r="B21" s="101" t="s">
        <v>135</v>
      </c>
      <c r="C21" s="230">
        <v>2312500</v>
      </c>
      <c r="D21" s="230">
        <v>2312500</v>
      </c>
      <c r="E21" s="230">
        <v>2312500</v>
      </c>
      <c r="F21" s="230">
        <v>2312500</v>
      </c>
      <c r="G21" s="230">
        <v>2312500</v>
      </c>
      <c r="H21" s="230">
        <v>2312500</v>
      </c>
      <c r="I21" s="230">
        <v>2312500</v>
      </c>
      <c r="J21" s="230">
        <f>2312500+300000</f>
        <v>2612500</v>
      </c>
      <c r="K21" s="230">
        <v>4000000</v>
      </c>
      <c r="L21" s="230">
        <v>4000000</v>
      </c>
      <c r="M21" s="230">
        <v>4000000</v>
      </c>
      <c r="N21" s="230">
        <v>18000000</v>
      </c>
      <c r="O21" s="341">
        <f t="shared" si="3"/>
        <v>48800000</v>
      </c>
      <c r="P21" s="398">
        <f>'1. sz.mell. '!C103</f>
        <v>48800000</v>
      </c>
      <c r="Q21" s="343">
        <f t="shared" si="1"/>
        <v>0</v>
      </c>
    </row>
    <row r="22" spans="1:17" s="46" customFormat="1" ht="14.1" customHeight="1" x14ac:dyDescent="0.25">
      <c r="A22" s="44" t="s">
        <v>31</v>
      </c>
      <c r="B22" s="101" t="s">
        <v>11</v>
      </c>
      <c r="C22" s="230">
        <v>29121953</v>
      </c>
      <c r="D22" s="230">
        <v>29121953</v>
      </c>
      <c r="E22" s="230">
        <v>29121953</v>
      </c>
      <c r="F22" s="230">
        <f>29121953+8730222+2275535+4651481+2527201</f>
        <v>47306392</v>
      </c>
      <c r="G22" s="230">
        <v>29121953</v>
      </c>
      <c r="H22" s="230">
        <v>29121953</v>
      </c>
      <c r="I22" s="230">
        <v>29121953</v>
      </c>
      <c r="J22" s="230">
        <v>29121953</v>
      </c>
      <c r="K22" s="230">
        <v>29121953</v>
      </c>
      <c r="L22" s="230">
        <v>29121953</v>
      </c>
      <c r="M22" s="230">
        <v>29121953</v>
      </c>
      <c r="N22" s="230">
        <v>29121952</v>
      </c>
      <c r="O22" s="341">
        <f t="shared" si="3"/>
        <v>367647874</v>
      </c>
      <c r="P22" s="342">
        <f>'1. sz.mell. '!C104</f>
        <v>367647874</v>
      </c>
      <c r="Q22" s="343">
        <f t="shared" si="1"/>
        <v>0</v>
      </c>
    </row>
    <row r="23" spans="1:17" s="46" customFormat="1" ht="14.1" customHeight="1" x14ac:dyDescent="0.25">
      <c r="A23" s="44" t="s">
        <v>32</v>
      </c>
      <c r="B23" s="101" t="s">
        <v>157</v>
      </c>
      <c r="C23" s="230">
        <v>1000000</v>
      </c>
      <c r="D23" s="230">
        <v>1000000</v>
      </c>
      <c r="E23" s="230">
        <v>51000000</v>
      </c>
      <c r="F23" s="230">
        <v>1000000</v>
      </c>
      <c r="G23" s="230">
        <f>1000000+235839</f>
        <v>1235839</v>
      </c>
      <c r="H23" s="230">
        <f>51000000+1134036</f>
        <v>52134036</v>
      </c>
      <c r="I23" s="230">
        <f>51000000+12122993</f>
        <v>63122993</v>
      </c>
      <c r="J23" s="230">
        <v>51000000</v>
      </c>
      <c r="K23" s="230">
        <v>51000000</v>
      </c>
      <c r="L23" s="230">
        <v>31000000</v>
      </c>
      <c r="M23" s="230">
        <v>41000000</v>
      </c>
      <c r="N23" s="230">
        <f>200000000+50989</f>
        <v>200050989</v>
      </c>
      <c r="O23" s="341">
        <f t="shared" si="3"/>
        <v>544543857</v>
      </c>
      <c r="P23" s="342">
        <f>'1. sz.mell. '!C121</f>
        <v>544543857</v>
      </c>
      <c r="Q23" s="343">
        <f t="shared" si="1"/>
        <v>0</v>
      </c>
    </row>
    <row r="24" spans="1:17" s="46" customFormat="1" x14ac:dyDescent="0.25">
      <c r="A24" s="44" t="s">
        <v>33</v>
      </c>
      <c r="B24" s="103" t="s">
        <v>138</v>
      </c>
      <c r="C24" s="230">
        <v>0</v>
      </c>
      <c r="D24" s="230">
        <v>0</v>
      </c>
      <c r="E24" s="230">
        <v>50000000</v>
      </c>
      <c r="F24" s="230">
        <v>50000000</v>
      </c>
      <c r="G24" s="230">
        <v>50000000</v>
      </c>
      <c r="H24" s="230">
        <v>50000000</v>
      </c>
      <c r="I24" s="230">
        <v>50000000</v>
      </c>
      <c r="J24" s="230">
        <v>50000000</v>
      </c>
      <c r="K24" s="230">
        <f>50000000+26239214</f>
        <v>76239214</v>
      </c>
      <c r="L24" s="230">
        <v>150000000</v>
      </c>
      <c r="M24" s="230">
        <v>150000000</v>
      </c>
      <c r="N24" s="230">
        <v>300000000</v>
      </c>
      <c r="O24" s="341">
        <f t="shared" si="3"/>
        <v>976239214</v>
      </c>
      <c r="P24" s="342">
        <f>'1. sz.mell. '!C123</f>
        <v>976239214</v>
      </c>
      <c r="Q24" s="343">
        <f t="shared" si="1"/>
        <v>0</v>
      </c>
    </row>
    <row r="25" spans="1:17" s="46" customFormat="1" ht="14.1" customHeight="1" x14ac:dyDescent="0.25">
      <c r="A25" s="44" t="s">
        <v>34</v>
      </c>
      <c r="B25" s="101" t="s">
        <v>159</v>
      </c>
      <c r="C25" s="230"/>
      <c r="D25" s="230">
        <v>44273302</v>
      </c>
      <c r="E25" s="230"/>
      <c r="F25" s="230">
        <v>1027</v>
      </c>
      <c r="G25" s="230">
        <f>2001092+2605350</f>
        <v>4606442</v>
      </c>
      <c r="H25" s="230"/>
      <c r="I25" s="230"/>
      <c r="J25" s="230"/>
      <c r="K25" s="230"/>
      <c r="L25" s="230">
        <f>397544+5008959</f>
        <v>5406503</v>
      </c>
      <c r="M25" s="230"/>
      <c r="N25" s="230"/>
      <c r="O25" s="341">
        <f t="shared" si="3"/>
        <v>54287274</v>
      </c>
      <c r="P25" s="342">
        <f>'1. sz.mell. '!C125</f>
        <v>54287274</v>
      </c>
      <c r="Q25" s="343">
        <f t="shared" si="1"/>
        <v>0</v>
      </c>
    </row>
    <row r="26" spans="1:17" s="46" customFormat="1" ht="14.1" customHeight="1" x14ac:dyDescent="0.25">
      <c r="A26" s="44" t="s">
        <v>35</v>
      </c>
      <c r="B26" s="101" t="s">
        <v>47</v>
      </c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>
        <f>142176108-1787864</f>
        <v>140388244</v>
      </c>
      <c r="O26" s="341">
        <f t="shared" si="3"/>
        <v>140388244</v>
      </c>
      <c r="P26" s="342">
        <f>'1. sz.mell. '!C117</f>
        <v>140388244</v>
      </c>
      <c r="Q26" s="343">
        <f t="shared" si="1"/>
        <v>0</v>
      </c>
    </row>
    <row r="27" spans="1:17" s="46" customFormat="1" ht="14.1" customHeight="1" thickBot="1" x14ac:dyDescent="0.3">
      <c r="A27" s="44" t="s">
        <v>36</v>
      </c>
      <c r="B27" s="101" t="s">
        <v>12</v>
      </c>
      <c r="C27" s="45">
        <v>110000000</v>
      </c>
      <c r="D27" s="45">
        <v>110000000</v>
      </c>
      <c r="E27" s="45">
        <v>25208884</v>
      </c>
      <c r="F27" s="45">
        <v>110000000</v>
      </c>
      <c r="G27" s="45">
        <v>110000000</v>
      </c>
      <c r="H27" s="45">
        <f>110000000+25208884</f>
        <v>135208884</v>
      </c>
      <c r="I27" s="45">
        <v>110000000</v>
      </c>
      <c r="J27" s="45">
        <v>110000000</v>
      </c>
      <c r="K27" s="45">
        <v>25208884</v>
      </c>
      <c r="L27" s="45">
        <v>110000000</v>
      </c>
      <c r="M27" s="45">
        <v>110000000</v>
      </c>
      <c r="N27" s="45">
        <f>110000000+25208884-1</f>
        <v>135208883</v>
      </c>
      <c r="O27" s="341">
        <f t="shared" si="3"/>
        <v>1200835535</v>
      </c>
      <c r="P27" s="344">
        <f>'1. sz.mell. '!C159</f>
        <v>1200835535</v>
      </c>
      <c r="Q27" s="345">
        <f t="shared" si="1"/>
        <v>0</v>
      </c>
    </row>
    <row r="28" spans="1:17" s="42" customFormat="1" ht="15.9" customHeight="1" thickBot="1" x14ac:dyDescent="0.3">
      <c r="A28" s="48" t="s">
        <v>37</v>
      </c>
      <c r="B28" s="28" t="s">
        <v>97</v>
      </c>
      <c r="C28" s="47">
        <f t="shared" ref="C28:N28" si="4">SUM(C18:C27)</f>
        <v>453979435</v>
      </c>
      <c r="D28" s="47">
        <f t="shared" si="4"/>
        <v>498252737</v>
      </c>
      <c r="E28" s="47">
        <f t="shared" si="4"/>
        <v>469188319</v>
      </c>
      <c r="F28" s="47">
        <f t="shared" si="4"/>
        <v>522164901</v>
      </c>
      <c r="G28" s="47">
        <f t="shared" si="4"/>
        <v>508987949</v>
      </c>
      <c r="H28" s="47">
        <f t="shared" si="4"/>
        <v>583322355</v>
      </c>
      <c r="I28" s="47">
        <f t="shared" si="4"/>
        <v>569169943</v>
      </c>
      <c r="J28" s="47">
        <f t="shared" si="4"/>
        <v>557279435</v>
      </c>
      <c r="K28" s="47">
        <f t="shared" si="4"/>
        <v>500115034</v>
      </c>
      <c r="L28" s="47">
        <f t="shared" si="4"/>
        <v>644073439</v>
      </c>
      <c r="M28" s="47">
        <f t="shared" si="4"/>
        <v>650212101</v>
      </c>
      <c r="N28" s="47">
        <f t="shared" si="4"/>
        <v>1134315048</v>
      </c>
      <c r="O28" s="808">
        <f t="shared" si="3"/>
        <v>7091060696</v>
      </c>
      <c r="P28" s="346">
        <f>SUM(P18:P27)</f>
        <v>7091060696</v>
      </c>
      <c r="Q28" s="347">
        <f t="shared" si="1"/>
        <v>0</v>
      </c>
    </row>
    <row r="29" spans="1:17" ht="16.2" thickBot="1" x14ac:dyDescent="0.35">
      <c r="A29" s="48" t="s">
        <v>38</v>
      </c>
      <c r="B29" s="104" t="s">
        <v>98</v>
      </c>
      <c r="C29" s="49">
        <f t="shared" ref="C29:N29" si="5">C16-C28</f>
        <v>1448524598</v>
      </c>
      <c r="D29" s="49">
        <f t="shared" si="5"/>
        <v>-73479566</v>
      </c>
      <c r="E29" s="49">
        <f t="shared" si="5"/>
        <v>330161409</v>
      </c>
      <c r="F29" s="49">
        <f t="shared" si="5"/>
        <v>-149560038</v>
      </c>
      <c r="G29" s="49">
        <f t="shared" si="5"/>
        <v>-72692231</v>
      </c>
      <c r="H29" s="49">
        <f t="shared" si="5"/>
        <v>-110917009</v>
      </c>
      <c r="I29" s="49">
        <f t="shared" si="5"/>
        <v>-124749421</v>
      </c>
      <c r="J29" s="49">
        <f t="shared" si="5"/>
        <v>-203552254</v>
      </c>
      <c r="K29" s="49">
        <f t="shared" si="5"/>
        <v>130217147</v>
      </c>
      <c r="L29" s="49">
        <f t="shared" si="5"/>
        <v>-300346259</v>
      </c>
      <c r="M29" s="49">
        <f t="shared" si="5"/>
        <v>-306484921</v>
      </c>
      <c r="N29" s="49">
        <f t="shared" si="5"/>
        <v>-567121455</v>
      </c>
      <c r="O29" s="396">
        <f>SUM(C29:N29)</f>
        <v>0</v>
      </c>
    </row>
    <row r="30" spans="1:17" x14ac:dyDescent="0.3">
      <c r="A30" s="50"/>
    </row>
    <row r="31" spans="1:17" x14ac:dyDescent="0.3">
      <c r="B31" s="51"/>
      <c r="C31" s="52"/>
      <c r="D31" s="52"/>
      <c r="O31" s="397"/>
    </row>
    <row r="32" spans="1:17" x14ac:dyDescent="0.3">
      <c r="O32" s="397"/>
    </row>
    <row r="33" spans="15:15" x14ac:dyDescent="0.3">
      <c r="O33" s="397"/>
    </row>
    <row r="34" spans="15:15" x14ac:dyDescent="0.3">
      <c r="O34" s="397"/>
    </row>
    <row r="35" spans="15:15" x14ac:dyDescent="0.3">
      <c r="O35" s="397"/>
    </row>
    <row r="36" spans="15:15" x14ac:dyDescent="0.3">
      <c r="O36" s="397"/>
    </row>
    <row r="37" spans="15:15" x14ac:dyDescent="0.3">
      <c r="O37" s="397"/>
    </row>
    <row r="38" spans="15:15" x14ac:dyDescent="0.3">
      <c r="O38" s="397"/>
    </row>
    <row r="39" spans="15:15" x14ac:dyDescent="0.3">
      <c r="O39" s="397"/>
    </row>
    <row r="40" spans="15:15" x14ac:dyDescent="0.3">
      <c r="O40" s="397"/>
    </row>
    <row r="41" spans="15:15" x14ac:dyDescent="0.3">
      <c r="O41" s="397"/>
    </row>
    <row r="42" spans="15:15" x14ac:dyDescent="0.3">
      <c r="O42" s="397"/>
    </row>
    <row r="43" spans="15:15" x14ac:dyDescent="0.3">
      <c r="O43" s="397"/>
    </row>
    <row r="44" spans="15:15" x14ac:dyDescent="0.3">
      <c r="O44" s="397"/>
    </row>
    <row r="45" spans="15:15" x14ac:dyDescent="0.3">
      <c r="O45" s="397"/>
    </row>
    <row r="46" spans="15:15" x14ac:dyDescent="0.3">
      <c r="O46" s="397"/>
    </row>
    <row r="47" spans="15:15" x14ac:dyDescent="0.3">
      <c r="O47" s="397"/>
    </row>
    <row r="48" spans="15:15" x14ac:dyDescent="0.3">
      <c r="O48" s="397"/>
    </row>
    <row r="49" spans="15:15" x14ac:dyDescent="0.3">
      <c r="O49" s="397"/>
    </row>
    <row r="50" spans="15:15" x14ac:dyDescent="0.3">
      <c r="O50" s="397"/>
    </row>
    <row r="51" spans="15:15" x14ac:dyDescent="0.3">
      <c r="O51" s="397"/>
    </row>
    <row r="52" spans="15:15" x14ac:dyDescent="0.3">
      <c r="O52" s="397"/>
    </row>
    <row r="53" spans="15:15" x14ac:dyDescent="0.3">
      <c r="O53" s="397"/>
    </row>
    <row r="54" spans="15:15" x14ac:dyDescent="0.3">
      <c r="O54" s="397"/>
    </row>
    <row r="55" spans="15:15" x14ac:dyDescent="0.3">
      <c r="O55" s="397"/>
    </row>
    <row r="56" spans="15:15" x14ac:dyDescent="0.3">
      <c r="O56" s="397"/>
    </row>
    <row r="57" spans="15:15" x14ac:dyDescent="0.3">
      <c r="O57" s="397"/>
    </row>
    <row r="58" spans="15:15" x14ac:dyDescent="0.3">
      <c r="O58" s="397"/>
    </row>
    <row r="59" spans="15:15" x14ac:dyDescent="0.3">
      <c r="O59" s="397"/>
    </row>
    <row r="60" spans="15:15" x14ac:dyDescent="0.3">
      <c r="O60" s="397"/>
    </row>
    <row r="61" spans="15:15" x14ac:dyDescent="0.3">
      <c r="O61" s="397"/>
    </row>
    <row r="62" spans="15:15" x14ac:dyDescent="0.3">
      <c r="O62" s="397"/>
    </row>
    <row r="63" spans="15:15" x14ac:dyDescent="0.3">
      <c r="O63" s="397"/>
    </row>
    <row r="64" spans="15:15" x14ac:dyDescent="0.3">
      <c r="O64" s="397"/>
    </row>
    <row r="65" spans="15:15" x14ac:dyDescent="0.3">
      <c r="O65" s="397"/>
    </row>
    <row r="66" spans="15:15" x14ac:dyDescent="0.3">
      <c r="O66" s="397"/>
    </row>
    <row r="67" spans="15:15" x14ac:dyDescent="0.3">
      <c r="O67" s="397"/>
    </row>
    <row r="68" spans="15:15" x14ac:dyDescent="0.3">
      <c r="O68" s="397"/>
    </row>
    <row r="69" spans="15:15" x14ac:dyDescent="0.3">
      <c r="O69" s="397"/>
    </row>
    <row r="70" spans="15:15" x14ac:dyDescent="0.3">
      <c r="O70" s="397"/>
    </row>
    <row r="71" spans="15:15" x14ac:dyDescent="0.3">
      <c r="O71" s="397"/>
    </row>
    <row r="72" spans="15:15" x14ac:dyDescent="0.3">
      <c r="O72" s="397"/>
    </row>
    <row r="73" spans="15:15" x14ac:dyDescent="0.3">
      <c r="O73" s="397"/>
    </row>
    <row r="74" spans="15:15" x14ac:dyDescent="0.3">
      <c r="O74" s="397"/>
    </row>
    <row r="75" spans="15:15" x14ac:dyDescent="0.3">
      <c r="O75" s="397"/>
    </row>
    <row r="76" spans="15:15" x14ac:dyDescent="0.3">
      <c r="O76" s="397"/>
    </row>
    <row r="77" spans="15:15" x14ac:dyDescent="0.3">
      <c r="O77" s="397"/>
    </row>
    <row r="78" spans="15:15" x14ac:dyDescent="0.3">
      <c r="O78" s="397"/>
    </row>
    <row r="79" spans="15:15" x14ac:dyDescent="0.3">
      <c r="O79" s="397"/>
    </row>
    <row r="80" spans="15:15" x14ac:dyDescent="0.3">
      <c r="O80" s="397"/>
    </row>
    <row r="81" spans="15:15" x14ac:dyDescent="0.3">
      <c r="O81" s="397"/>
    </row>
    <row r="82" spans="15:15" x14ac:dyDescent="0.3">
      <c r="O82" s="397"/>
    </row>
    <row r="83" spans="15:15" x14ac:dyDescent="0.3">
      <c r="O83" s="397"/>
    </row>
    <row r="84" spans="15:15" x14ac:dyDescent="0.3">
      <c r="O84" s="397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tabColor rgb="FF92D050"/>
    <pageSetUpPr fitToPage="1"/>
  </sheetPr>
  <dimension ref="A1:F59"/>
  <sheetViews>
    <sheetView view="pageBreakPreview" topLeftCell="A46" zoomScaleSheetLayoutView="100" workbookViewId="0">
      <selection activeCell="D54" sqref="D54"/>
    </sheetView>
  </sheetViews>
  <sheetFormatPr defaultColWidth="10.6640625" defaultRowHeight="15.6" x14ac:dyDescent="0.3"/>
  <cols>
    <col min="1" max="1" width="10.6640625" style="229"/>
    <col min="2" max="2" width="16" style="229" customWidth="1"/>
    <col min="3" max="3" width="97.33203125" style="229" customWidth="1"/>
    <col min="4" max="4" width="27.44140625" style="745" customWidth="1"/>
    <col min="5" max="5" width="26.33203125" style="229" bestFit="1" customWidth="1"/>
    <col min="6" max="6" width="18.6640625" style="229" bestFit="1" customWidth="1"/>
    <col min="7" max="258" width="10.6640625" style="229"/>
    <col min="259" max="259" width="60.109375" style="229" customWidth="1"/>
    <col min="260" max="260" width="48.77734375" style="229" customWidth="1"/>
    <col min="261" max="261" width="16.44140625" style="229" bestFit="1" customWidth="1"/>
    <col min="262" max="262" width="15" style="229" customWidth="1"/>
    <col min="263" max="514" width="10.6640625" style="229"/>
    <col min="515" max="515" width="60.109375" style="229" customWidth="1"/>
    <col min="516" max="516" width="48.77734375" style="229" customWidth="1"/>
    <col min="517" max="517" width="16.44140625" style="229" bestFit="1" customWidth="1"/>
    <col min="518" max="518" width="15" style="229" customWidth="1"/>
    <col min="519" max="770" width="10.6640625" style="229"/>
    <col min="771" max="771" width="60.109375" style="229" customWidth="1"/>
    <col min="772" max="772" width="48.77734375" style="229" customWidth="1"/>
    <col min="773" max="773" width="16.44140625" style="229" bestFit="1" customWidth="1"/>
    <col min="774" max="774" width="15" style="229" customWidth="1"/>
    <col min="775" max="1026" width="10.6640625" style="229"/>
    <col min="1027" max="1027" width="60.109375" style="229" customWidth="1"/>
    <col min="1028" max="1028" width="48.77734375" style="229" customWidth="1"/>
    <col min="1029" max="1029" width="16.44140625" style="229" bestFit="1" customWidth="1"/>
    <col min="1030" max="1030" width="15" style="229" customWidth="1"/>
    <col min="1031" max="1282" width="10.6640625" style="229"/>
    <col min="1283" max="1283" width="60.109375" style="229" customWidth="1"/>
    <col min="1284" max="1284" width="48.77734375" style="229" customWidth="1"/>
    <col min="1285" max="1285" width="16.44140625" style="229" bestFit="1" customWidth="1"/>
    <col min="1286" max="1286" width="15" style="229" customWidth="1"/>
    <col min="1287" max="1538" width="10.6640625" style="229"/>
    <col min="1539" max="1539" width="60.109375" style="229" customWidth="1"/>
    <col min="1540" max="1540" width="48.77734375" style="229" customWidth="1"/>
    <col min="1541" max="1541" width="16.44140625" style="229" bestFit="1" customWidth="1"/>
    <col min="1542" max="1542" width="15" style="229" customWidth="1"/>
    <col min="1543" max="1794" width="10.6640625" style="229"/>
    <col min="1795" max="1795" width="60.109375" style="229" customWidth="1"/>
    <col min="1796" max="1796" width="48.77734375" style="229" customWidth="1"/>
    <col min="1797" max="1797" width="16.44140625" style="229" bestFit="1" customWidth="1"/>
    <col min="1798" max="1798" width="15" style="229" customWidth="1"/>
    <col min="1799" max="2050" width="10.6640625" style="229"/>
    <col min="2051" max="2051" width="60.109375" style="229" customWidth="1"/>
    <col min="2052" max="2052" width="48.77734375" style="229" customWidth="1"/>
    <col min="2053" max="2053" width="16.44140625" style="229" bestFit="1" customWidth="1"/>
    <col min="2054" max="2054" width="15" style="229" customWidth="1"/>
    <col min="2055" max="2306" width="10.6640625" style="229"/>
    <col min="2307" max="2307" width="60.109375" style="229" customWidth="1"/>
    <col min="2308" max="2308" width="48.77734375" style="229" customWidth="1"/>
    <col min="2309" max="2309" width="16.44140625" style="229" bestFit="1" customWidth="1"/>
    <col min="2310" max="2310" width="15" style="229" customWidth="1"/>
    <col min="2311" max="2562" width="10.6640625" style="229"/>
    <col min="2563" max="2563" width="60.109375" style="229" customWidth="1"/>
    <col min="2564" max="2564" width="48.77734375" style="229" customWidth="1"/>
    <col min="2565" max="2565" width="16.44140625" style="229" bestFit="1" customWidth="1"/>
    <col min="2566" max="2566" width="15" style="229" customWidth="1"/>
    <col min="2567" max="2818" width="10.6640625" style="229"/>
    <col min="2819" max="2819" width="60.109375" style="229" customWidth="1"/>
    <col min="2820" max="2820" width="48.77734375" style="229" customWidth="1"/>
    <col min="2821" max="2821" width="16.44140625" style="229" bestFit="1" customWidth="1"/>
    <col min="2822" max="2822" width="15" style="229" customWidth="1"/>
    <col min="2823" max="3074" width="10.6640625" style="229"/>
    <col min="3075" max="3075" width="60.109375" style="229" customWidth="1"/>
    <col min="3076" max="3076" width="48.77734375" style="229" customWidth="1"/>
    <col min="3077" max="3077" width="16.44140625" style="229" bestFit="1" customWidth="1"/>
    <col min="3078" max="3078" width="15" style="229" customWidth="1"/>
    <col min="3079" max="3330" width="10.6640625" style="229"/>
    <col min="3331" max="3331" width="60.109375" style="229" customWidth="1"/>
    <col min="3332" max="3332" width="48.77734375" style="229" customWidth="1"/>
    <col min="3333" max="3333" width="16.44140625" style="229" bestFit="1" customWidth="1"/>
    <col min="3334" max="3334" width="15" style="229" customWidth="1"/>
    <col min="3335" max="3586" width="10.6640625" style="229"/>
    <col min="3587" max="3587" width="60.109375" style="229" customWidth="1"/>
    <col min="3588" max="3588" width="48.77734375" style="229" customWidth="1"/>
    <col min="3589" max="3589" width="16.44140625" style="229" bestFit="1" customWidth="1"/>
    <col min="3590" max="3590" width="15" style="229" customWidth="1"/>
    <col min="3591" max="3842" width="10.6640625" style="229"/>
    <col min="3843" max="3843" width="60.109375" style="229" customWidth="1"/>
    <col min="3844" max="3844" width="48.77734375" style="229" customWidth="1"/>
    <col min="3845" max="3845" width="16.44140625" style="229" bestFit="1" customWidth="1"/>
    <col min="3846" max="3846" width="15" style="229" customWidth="1"/>
    <col min="3847" max="4098" width="10.6640625" style="229"/>
    <col min="4099" max="4099" width="60.109375" style="229" customWidth="1"/>
    <col min="4100" max="4100" width="48.77734375" style="229" customWidth="1"/>
    <col min="4101" max="4101" width="16.44140625" style="229" bestFit="1" customWidth="1"/>
    <col min="4102" max="4102" width="15" style="229" customWidth="1"/>
    <col min="4103" max="4354" width="10.6640625" style="229"/>
    <col min="4355" max="4355" width="60.109375" style="229" customWidth="1"/>
    <col min="4356" max="4356" width="48.77734375" style="229" customWidth="1"/>
    <col min="4357" max="4357" width="16.44140625" style="229" bestFit="1" customWidth="1"/>
    <col min="4358" max="4358" width="15" style="229" customWidth="1"/>
    <col min="4359" max="4610" width="10.6640625" style="229"/>
    <col min="4611" max="4611" width="60.109375" style="229" customWidth="1"/>
    <col min="4612" max="4612" width="48.77734375" style="229" customWidth="1"/>
    <col min="4613" max="4613" width="16.44140625" style="229" bestFit="1" customWidth="1"/>
    <col min="4614" max="4614" width="15" style="229" customWidth="1"/>
    <col min="4615" max="4866" width="10.6640625" style="229"/>
    <col min="4867" max="4867" width="60.109375" style="229" customWidth="1"/>
    <col min="4868" max="4868" width="48.77734375" style="229" customWidth="1"/>
    <col min="4869" max="4869" width="16.44140625" style="229" bestFit="1" customWidth="1"/>
    <col min="4870" max="4870" width="15" style="229" customWidth="1"/>
    <col min="4871" max="5122" width="10.6640625" style="229"/>
    <col min="5123" max="5123" width="60.109375" style="229" customWidth="1"/>
    <col min="5124" max="5124" width="48.77734375" style="229" customWidth="1"/>
    <col min="5125" max="5125" width="16.44140625" style="229" bestFit="1" customWidth="1"/>
    <col min="5126" max="5126" width="15" style="229" customWidth="1"/>
    <col min="5127" max="5378" width="10.6640625" style="229"/>
    <col min="5379" max="5379" width="60.109375" style="229" customWidth="1"/>
    <col min="5380" max="5380" width="48.77734375" style="229" customWidth="1"/>
    <col min="5381" max="5381" width="16.44140625" style="229" bestFit="1" customWidth="1"/>
    <col min="5382" max="5382" width="15" style="229" customWidth="1"/>
    <col min="5383" max="5634" width="10.6640625" style="229"/>
    <col min="5635" max="5635" width="60.109375" style="229" customWidth="1"/>
    <col min="5636" max="5636" width="48.77734375" style="229" customWidth="1"/>
    <col min="5637" max="5637" width="16.44140625" style="229" bestFit="1" customWidth="1"/>
    <col min="5638" max="5638" width="15" style="229" customWidth="1"/>
    <col min="5639" max="5890" width="10.6640625" style="229"/>
    <col min="5891" max="5891" width="60.109375" style="229" customWidth="1"/>
    <col min="5892" max="5892" width="48.77734375" style="229" customWidth="1"/>
    <col min="5893" max="5893" width="16.44140625" style="229" bestFit="1" customWidth="1"/>
    <col min="5894" max="5894" width="15" style="229" customWidth="1"/>
    <col min="5895" max="6146" width="10.6640625" style="229"/>
    <col min="6147" max="6147" width="60.109375" style="229" customWidth="1"/>
    <col min="6148" max="6148" width="48.77734375" style="229" customWidth="1"/>
    <col min="6149" max="6149" width="16.44140625" style="229" bestFit="1" customWidth="1"/>
    <col min="6150" max="6150" width="15" style="229" customWidth="1"/>
    <col min="6151" max="6402" width="10.6640625" style="229"/>
    <col min="6403" max="6403" width="60.109375" style="229" customWidth="1"/>
    <col min="6404" max="6404" width="48.77734375" style="229" customWidth="1"/>
    <col min="6405" max="6405" width="16.44140625" style="229" bestFit="1" customWidth="1"/>
    <col min="6406" max="6406" width="15" style="229" customWidth="1"/>
    <col min="6407" max="6658" width="10.6640625" style="229"/>
    <col min="6659" max="6659" width="60.109375" style="229" customWidth="1"/>
    <col min="6660" max="6660" width="48.77734375" style="229" customWidth="1"/>
    <col min="6661" max="6661" width="16.44140625" style="229" bestFit="1" customWidth="1"/>
    <col min="6662" max="6662" width="15" style="229" customWidth="1"/>
    <col min="6663" max="6914" width="10.6640625" style="229"/>
    <col min="6915" max="6915" width="60.109375" style="229" customWidth="1"/>
    <col min="6916" max="6916" width="48.77734375" style="229" customWidth="1"/>
    <col min="6917" max="6917" width="16.44140625" style="229" bestFit="1" customWidth="1"/>
    <col min="6918" max="6918" width="15" style="229" customWidth="1"/>
    <col min="6919" max="7170" width="10.6640625" style="229"/>
    <col min="7171" max="7171" width="60.109375" style="229" customWidth="1"/>
    <col min="7172" max="7172" width="48.77734375" style="229" customWidth="1"/>
    <col min="7173" max="7173" width="16.44140625" style="229" bestFit="1" customWidth="1"/>
    <col min="7174" max="7174" width="15" style="229" customWidth="1"/>
    <col min="7175" max="7426" width="10.6640625" style="229"/>
    <col min="7427" max="7427" width="60.109375" style="229" customWidth="1"/>
    <col min="7428" max="7428" width="48.77734375" style="229" customWidth="1"/>
    <col min="7429" max="7429" width="16.44140625" style="229" bestFit="1" customWidth="1"/>
    <col min="7430" max="7430" width="15" style="229" customWidth="1"/>
    <col min="7431" max="7682" width="10.6640625" style="229"/>
    <col min="7683" max="7683" width="60.109375" style="229" customWidth="1"/>
    <col min="7684" max="7684" width="48.77734375" style="229" customWidth="1"/>
    <col min="7685" max="7685" width="16.44140625" style="229" bestFit="1" customWidth="1"/>
    <col min="7686" max="7686" width="15" style="229" customWidth="1"/>
    <col min="7687" max="7938" width="10.6640625" style="229"/>
    <col min="7939" max="7939" width="60.109375" style="229" customWidth="1"/>
    <col min="7940" max="7940" width="48.77734375" style="229" customWidth="1"/>
    <col min="7941" max="7941" width="16.44140625" style="229" bestFit="1" customWidth="1"/>
    <col min="7942" max="7942" width="15" style="229" customWidth="1"/>
    <col min="7943" max="8194" width="10.6640625" style="229"/>
    <col min="8195" max="8195" width="60.109375" style="229" customWidth="1"/>
    <col min="8196" max="8196" width="48.77734375" style="229" customWidth="1"/>
    <col min="8197" max="8197" width="16.44140625" style="229" bestFit="1" customWidth="1"/>
    <col min="8198" max="8198" width="15" style="229" customWidth="1"/>
    <col min="8199" max="8450" width="10.6640625" style="229"/>
    <col min="8451" max="8451" width="60.109375" style="229" customWidth="1"/>
    <col min="8452" max="8452" width="48.77734375" style="229" customWidth="1"/>
    <col min="8453" max="8453" width="16.44140625" style="229" bestFit="1" customWidth="1"/>
    <col min="8454" max="8454" width="15" style="229" customWidth="1"/>
    <col min="8455" max="8706" width="10.6640625" style="229"/>
    <col min="8707" max="8707" width="60.109375" style="229" customWidth="1"/>
    <col min="8708" max="8708" width="48.77734375" style="229" customWidth="1"/>
    <col min="8709" max="8709" width="16.44140625" style="229" bestFit="1" customWidth="1"/>
    <col min="8710" max="8710" width="15" style="229" customWidth="1"/>
    <col min="8711" max="8962" width="10.6640625" style="229"/>
    <col min="8963" max="8963" width="60.109375" style="229" customWidth="1"/>
    <col min="8964" max="8964" width="48.77734375" style="229" customWidth="1"/>
    <col min="8965" max="8965" width="16.44140625" style="229" bestFit="1" customWidth="1"/>
    <col min="8966" max="8966" width="15" style="229" customWidth="1"/>
    <col min="8967" max="9218" width="10.6640625" style="229"/>
    <col min="9219" max="9219" width="60.109375" style="229" customWidth="1"/>
    <col min="9220" max="9220" width="48.77734375" style="229" customWidth="1"/>
    <col min="9221" max="9221" width="16.44140625" style="229" bestFit="1" customWidth="1"/>
    <col min="9222" max="9222" width="15" style="229" customWidth="1"/>
    <col min="9223" max="9474" width="10.6640625" style="229"/>
    <col min="9475" max="9475" width="60.109375" style="229" customWidth="1"/>
    <col min="9476" max="9476" width="48.77734375" style="229" customWidth="1"/>
    <col min="9477" max="9477" width="16.44140625" style="229" bestFit="1" customWidth="1"/>
    <col min="9478" max="9478" width="15" style="229" customWidth="1"/>
    <col min="9479" max="9730" width="10.6640625" style="229"/>
    <col min="9731" max="9731" width="60.109375" style="229" customWidth="1"/>
    <col min="9732" max="9732" width="48.77734375" style="229" customWidth="1"/>
    <col min="9733" max="9733" width="16.44140625" style="229" bestFit="1" customWidth="1"/>
    <col min="9734" max="9734" width="15" style="229" customWidth="1"/>
    <col min="9735" max="9986" width="10.6640625" style="229"/>
    <col min="9987" max="9987" width="60.109375" style="229" customWidth="1"/>
    <col min="9988" max="9988" width="48.77734375" style="229" customWidth="1"/>
    <col min="9989" max="9989" width="16.44140625" style="229" bestFit="1" customWidth="1"/>
    <col min="9990" max="9990" width="15" style="229" customWidth="1"/>
    <col min="9991" max="10242" width="10.6640625" style="229"/>
    <col min="10243" max="10243" width="60.109375" style="229" customWidth="1"/>
    <col min="10244" max="10244" width="48.77734375" style="229" customWidth="1"/>
    <col min="10245" max="10245" width="16.44140625" style="229" bestFit="1" customWidth="1"/>
    <col min="10246" max="10246" width="15" style="229" customWidth="1"/>
    <col min="10247" max="10498" width="10.6640625" style="229"/>
    <col min="10499" max="10499" width="60.109375" style="229" customWidth="1"/>
    <col min="10500" max="10500" width="48.77734375" style="229" customWidth="1"/>
    <col min="10501" max="10501" width="16.44140625" style="229" bestFit="1" customWidth="1"/>
    <col min="10502" max="10502" width="15" style="229" customWidth="1"/>
    <col min="10503" max="10754" width="10.6640625" style="229"/>
    <col min="10755" max="10755" width="60.109375" style="229" customWidth="1"/>
    <col min="10756" max="10756" width="48.77734375" style="229" customWidth="1"/>
    <col min="10757" max="10757" width="16.44140625" style="229" bestFit="1" customWidth="1"/>
    <col min="10758" max="10758" width="15" style="229" customWidth="1"/>
    <col min="10759" max="11010" width="10.6640625" style="229"/>
    <col min="11011" max="11011" width="60.109375" style="229" customWidth="1"/>
    <col min="11012" max="11012" width="48.77734375" style="229" customWidth="1"/>
    <col min="11013" max="11013" width="16.44140625" style="229" bestFit="1" customWidth="1"/>
    <col min="11014" max="11014" width="15" style="229" customWidth="1"/>
    <col min="11015" max="11266" width="10.6640625" style="229"/>
    <col min="11267" max="11267" width="60.109375" style="229" customWidth="1"/>
    <col min="11268" max="11268" width="48.77734375" style="229" customWidth="1"/>
    <col min="11269" max="11269" width="16.44140625" style="229" bestFit="1" customWidth="1"/>
    <col min="11270" max="11270" width="15" style="229" customWidth="1"/>
    <col min="11271" max="11522" width="10.6640625" style="229"/>
    <col min="11523" max="11523" width="60.109375" style="229" customWidth="1"/>
    <col min="11524" max="11524" width="48.77734375" style="229" customWidth="1"/>
    <col min="11525" max="11525" width="16.44140625" style="229" bestFit="1" customWidth="1"/>
    <col min="11526" max="11526" width="15" style="229" customWidth="1"/>
    <col min="11527" max="11778" width="10.6640625" style="229"/>
    <col min="11779" max="11779" width="60.109375" style="229" customWidth="1"/>
    <col min="11780" max="11780" width="48.77734375" style="229" customWidth="1"/>
    <col min="11781" max="11781" width="16.44140625" style="229" bestFit="1" customWidth="1"/>
    <col min="11782" max="11782" width="15" style="229" customWidth="1"/>
    <col min="11783" max="12034" width="10.6640625" style="229"/>
    <col min="12035" max="12035" width="60.109375" style="229" customWidth="1"/>
    <col min="12036" max="12036" width="48.77734375" style="229" customWidth="1"/>
    <col min="12037" max="12037" width="16.44140625" style="229" bestFit="1" customWidth="1"/>
    <col min="12038" max="12038" width="15" style="229" customWidth="1"/>
    <col min="12039" max="12290" width="10.6640625" style="229"/>
    <col min="12291" max="12291" width="60.109375" style="229" customWidth="1"/>
    <col min="12292" max="12292" width="48.77734375" style="229" customWidth="1"/>
    <col min="12293" max="12293" width="16.44140625" style="229" bestFit="1" customWidth="1"/>
    <col min="12294" max="12294" width="15" style="229" customWidth="1"/>
    <col min="12295" max="12546" width="10.6640625" style="229"/>
    <col min="12547" max="12547" width="60.109375" style="229" customWidth="1"/>
    <col min="12548" max="12548" width="48.77734375" style="229" customWidth="1"/>
    <col min="12549" max="12549" width="16.44140625" style="229" bestFit="1" customWidth="1"/>
    <col min="12550" max="12550" width="15" style="229" customWidth="1"/>
    <col min="12551" max="12802" width="10.6640625" style="229"/>
    <col min="12803" max="12803" width="60.109375" style="229" customWidth="1"/>
    <col min="12804" max="12804" width="48.77734375" style="229" customWidth="1"/>
    <col min="12805" max="12805" width="16.44140625" style="229" bestFit="1" customWidth="1"/>
    <col min="12806" max="12806" width="15" style="229" customWidth="1"/>
    <col min="12807" max="13058" width="10.6640625" style="229"/>
    <col min="13059" max="13059" width="60.109375" style="229" customWidth="1"/>
    <col min="13060" max="13060" width="48.77734375" style="229" customWidth="1"/>
    <col min="13061" max="13061" width="16.44140625" style="229" bestFit="1" customWidth="1"/>
    <col min="13062" max="13062" width="15" style="229" customWidth="1"/>
    <col min="13063" max="13314" width="10.6640625" style="229"/>
    <col min="13315" max="13315" width="60.109375" style="229" customWidth="1"/>
    <col min="13316" max="13316" width="48.77734375" style="229" customWidth="1"/>
    <col min="13317" max="13317" width="16.44140625" style="229" bestFit="1" customWidth="1"/>
    <col min="13318" max="13318" width="15" style="229" customWidth="1"/>
    <col min="13319" max="13570" width="10.6640625" style="229"/>
    <col min="13571" max="13571" width="60.109375" style="229" customWidth="1"/>
    <col min="13572" max="13572" width="48.77734375" style="229" customWidth="1"/>
    <col min="13573" max="13573" width="16.44140625" style="229" bestFit="1" customWidth="1"/>
    <col min="13574" max="13574" width="15" style="229" customWidth="1"/>
    <col min="13575" max="13826" width="10.6640625" style="229"/>
    <col min="13827" max="13827" width="60.109375" style="229" customWidth="1"/>
    <col min="13828" max="13828" width="48.77734375" style="229" customWidth="1"/>
    <col min="13829" max="13829" width="16.44140625" style="229" bestFit="1" customWidth="1"/>
    <col min="13830" max="13830" width="15" style="229" customWidth="1"/>
    <col min="13831" max="14082" width="10.6640625" style="229"/>
    <col min="14083" max="14083" width="60.109375" style="229" customWidth="1"/>
    <col min="14084" max="14084" width="48.77734375" style="229" customWidth="1"/>
    <col min="14085" max="14085" width="16.44140625" style="229" bestFit="1" customWidth="1"/>
    <col min="14086" max="14086" width="15" style="229" customWidth="1"/>
    <col min="14087" max="14338" width="10.6640625" style="229"/>
    <col min="14339" max="14339" width="60.109375" style="229" customWidth="1"/>
    <col min="14340" max="14340" width="48.77734375" style="229" customWidth="1"/>
    <col min="14341" max="14341" width="16.44140625" style="229" bestFit="1" customWidth="1"/>
    <col min="14342" max="14342" width="15" style="229" customWidth="1"/>
    <col min="14343" max="14594" width="10.6640625" style="229"/>
    <col min="14595" max="14595" width="60.109375" style="229" customWidth="1"/>
    <col min="14596" max="14596" width="48.77734375" style="229" customWidth="1"/>
    <col min="14597" max="14597" width="16.44140625" style="229" bestFit="1" customWidth="1"/>
    <col min="14598" max="14598" width="15" style="229" customWidth="1"/>
    <col min="14599" max="14850" width="10.6640625" style="229"/>
    <col min="14851" max="14851" width="60.109375" style="229" customWidth="1"/>
    <col min="14852" max="14852" width="48.77734375" style="229" customWidth="1"/>
    <col min="14853" max="14853" width="16.44140625" style="229" bestFit="1" customWidth="1"/>
    <col min="14854" max="14854" width="15" style="229" customWidth="1"/>
    <col min="14855" max="15106" width="10.6640625" style="229"/>
    <col min="15107" max="15107" width="60.109375" style="229" customWidth="1"/>
    <col min="15108" max="15108" width="48.77734375" style="229" customWidth="1"/>
    <col min="15109" max="15109" width="16.44140625" style="229" bestFit="1" customWidth="1"/>
    <col min="15110" max="15110" width="15" style="229" customWidth="1"/>
    <col min="15111" max="15362" width="10.6640625" style="229"/>
    <col min="15363" max="15363" width="60.109375" style="229" customWidth="1"/>
    <col min="15364" max="15364" width="48.77734375" style="229" customWidth="1"/>
    <col min="15365" max="15365" width="16.44140625" style="229" bestFit="1" customWidth="1"/>
    <col min="15366" max="15366" width="15" style="229" customWidth="1"/>
    <col min="15367" max="15618" width="10.6640625" style="229"/>
    <col min="15619" max="15619" width="60.109375" style="229" customWidth="1"/>
    <col min="15620" max="15620" width="48.77734375" style="229" customWidth="1"/>
    <col min="15621" max="15621" width="16.44140625" style="229" bestFit="1" customWidth="1"/>
    <col min="15622" max="15622" width="15" style="229" customWidth="1"/>
    <col min="15623" max="15874" width="10.6640625" style="229"/>
    <col min="15875" max="15875" width="60.109375" style="229" customWidth="1"/>
    <col min="15876" max="15876" width="48.77734375" style="229" customWidth="1"/>
    <col min="15877" max="15877" width="16.44140625" style="229" bestFit="1" customWidth="1"/>
    <col min="15878" max="15878" width="15" style="229" customWidth="1"/>
    <col min="15879" max="16130" width="10.6640625" style="229"/>
    <col min="16131" max="16131" width="60.109375" style="229" customWidth="1"/>
    <col min="16132" max="16132" width="48.77734375" style="229" customWidth="1"/>
    <col min="16133" max="16133" width="16.44140625" style="229" bestFit="1" customWidth="1"/>
    <col min="16134" max="16134" width="15" style="229" customWidth="1"/>
    <col min="16135" max="16384" width="10.6640625" style="229"/>
  </cols>
  <sheetData>
    <row r="1" spans="1:5" ht="13.2" x14ac:dyDescent="0.25">
      <c r="A1" s="1397" t="str">
        <f>CONCATENATE("40. melléklet ",ALAPADATOK!A7," ",ALAPADATOK!B7," ",ALAPADATOK!C7," ",ALAPADATOK!D7," ",ALAPADATOK!E7," ",ALAPADATOK!F7," ",ALAPADATOK!G7," ",ALAPADATOK!H7)</f>
        <v>40. melléklet a …. / 2024. ( .... ) önkormányzati rendelethez</v>
      </c>
      <c r="B1" s="1397"/>
      <c r="C1" s="1397"/>
      <c r="D1" s="1397"/>
      <c r="E1" s="1397"/>
    </row>
    <row r="2" spans="1:5" ht="17.399999999999999" customHeight="1" x14ac:dyDescent="0.25">
      <c r="C2" s="227"/>
      <c r="D2" s="1398" t="s">
        <v>921</v>
      </c>
      <c r="E2" s="1398"/>
    </row>
    <row r="3" spans="1:5" ht="42" customHeight="1" x14ac:dyDescent="0.25">
      <c r="A3" s="1396" t="s">
        <v>1067</v>
      </c>
      <c r="B3" s="1396"/>
      <c r="C3" s="1396"/>
      <c r="D3" s="1396"/>
      <c r="E3" s="1396"/>
    </row>
    <row r="4" spans="1:5" ht="33" customHeight="1" thickBot="1" x14ac:dyDescent="0.4">
      <c r="C4" s="228"/>
      <c r="D4" s="686"/>
    </row>
    <row r="5" spans="1:5" ht="45" customHeight="1" thickBot="1" x14ac:dyDescent="0.3">
      <c r="A5" s="989" t="s">
        <v>691</v>
      </c>
      <c r="B5" s="981" t="s">
        <v>724</v>
      </c>
      <c r="C5" s="902" t="s">
        <v>683</v>
      </c>
      <c r="D5" s="903" t="s">
        <v>1041</v>
      </c>
      <c r="E5" s="903" t="s">
        <v>1030</v>
      </c>
    </row>
    <row r="6" spans="1:5" ht="15" x14ac:dyDescent="0.25">
      <c r="A6" s="990" t="s">
        <v>16</v>
      </c>
      <c r="B6" s="715" t="s">
        <v>725</v>
      </c>
      <c r="C6" s="708" t="s">
        <v>364</v>
      </c>
      <c r="D6" s="819">
        <f>177516220+10772160</f>
        <v>188288380</v>
      </c>
      <c r="E6" s="819">
        <v>212603675</v>
      </c>
    </row>
    <row r="7" spans="1:5" ht="15" x14ac:dyDescent="0.25">
      <c r="A7" s="991" t="s">
        <v>17</v>
      </c>
      <c r="B7" s="716" t="s">
        <v>726</v>
      </c>
      <c r="C7" s="714" t="s">
        <v>727</v>
      </c>
      <c r="D7" s="741">
        <v>20430800</v>
      </c>
      <c r="E7" s="741">
        <v>20430800</v>
      </c>
    </row>
    <row r="8" spans="1:5" ht="15" x14ac:dyDescent="0.25">
      <c r="A8" s="991" t="s">
        <v>18</v>
      </c>
      <c r="B8" s="716" t="s">
        <v>736</v>
      </c>
      <c r="C8" s="714" t="s">
        <v>728</v>
      </c>
      <c r="D8" s="741">
        <v>36414600</v>
      </c>
      <c r="E8" s="741">
        <v>36455700</v>
      </c>
    </row>
    <row r="9" spans="1:5" ht="15" customHeight="1" x14ac:dyDescent="0.25">
      <c r="A9" s="991" t="s">
        <v>19</v>
      </c>
      <c r="B9" s="716" t="s">
        <v>735</v>
      </c>
      <c r="C9" s="714" t="s">
        <v>729</v>
      </c>
      <c r="D9" s="741">
        <v>7863585</v>
      </c>
      <c r="E9" s="741">
        <v>7863585</v>
      </c>
    </row>
    <row r="10" spans="1:5" ht="15" x14ac:dyDescent="0.25">
      <c r="A10" s="991" t="s">
        <v>20</v>
      </c>
      <c r="B10" s="716" t="s">
        <v>732</v>
      </c>
      <c r="C10" s="714" t="s">
        <v>730</v>
      </c>
      <c r="D10" s="741">
        <v>21920255</v>
      </c>
      <c r="E10" s="741">
        <v>21920255</v>
      </c>
    </row>
    <row r="11" spans="1:5" ht="15" x14ac:dyDescent="0.25">
      <c r="A11" s="991" t="s">
        <v>21</v>
      </c>
      <c r="B11" s="716" t="s">
        <v>733</v>
      </c>
      <c r="C11" s="714" t="s">
        <v>731</v>
      </c>
      <c r="D11" s="741">
        <v>36120000</v>
      </c>
      <c r="E11" s="741">
        <v>36106000</v>
      </c>
    </row>
    <row r="12" spans="1:5" ht="17.399999999999999" customHeight="1" x14ac:dyDescent="0.25">
      <c r="A12" s="991" t="s">
        <v>22</v>
      </c>
      <c r="B12" s="716" t="s">
        <v>734</v>
      </c>
      <c r="C12" s="714" t="s">
        <v>365</v>
      </c>
      <c r="D12" s="741">
        <v>130050</v>
      </c>
      <c r="E12" s="741">
        <v>147900</v>
      </c>
    </row>
    <row r="13" spans="1:5" ht="17.399999999999999" customHeight="1" thickBot="1" x14ac:dyDescent="0.3">
      <c r="A13" s="992" t="s">
        <v>23</v>
      </c>
      <c r="B13" s="719" t="s">
        <v>966</v>
      </c>
      <c r="C13" s="721" t="s">
        <v>967</v>
      </c>
      <c r="D13" s="742">
        <v>134049057</v>
      </c>
      <c r="E13" s="742"/>
    </row>
    <row r="14" spans="1:5" thickBot="1" x14ac:dyDescent="0.3">
      <c r="A14" s="993" t="s">
        <v>24</v>
      </c>
      <c r="B14" s="717" t="s">
        <v>85</v>
      </c>
      <c r="C14" s="706" t="s">
        <v>839</v>
      </c>
      <c r="D14" s="711">
        <f>SUM(D6:D13)</f>
        <v>445216727</v>
      </c>
      <c r="E14" s="711">
        <f>SUM(E6:E13)</f>
        <v>335527915</v>
      </c>
    </row>
    <row r="15" spans="1:5" ht="15" x14ac:dyDescent="0.25">
      <c r="A15" s="994" t="s">
        <v>25</v>
      </c>
      <c r="B15" s="982" t="s">
        <v>737</v>
      </c>
      <c r="C15" s="724" t="s">
        <v>738</v>
      </c>
      <c r="D15" s="713">
        <v>44936000</v>
      </c>
      <c r="E15" s="713">
        <v>57572916</v>
      </c>
    </row>
    <row r="16" spans="1:5" ht="15" x14ac:dyDescent="0.25">
      <c r="A16" s="995" t="s">
        <v>26</v>
      </c>
      <c r="B16" s="983" t="s">
        <v>739</v>
      </c>
      <c r="C16" s="725" t="s">
        <v>740</v>
      </c>
      <c r="D16" s="741">
        <v>180638832</v>
      </c>
      <c r="E16" s="741">
        <v>248648400</v>
      </c>
    </row>
    <row r="17" spans="1:5" ht="30" x14ac:dyDescent="0.25">
      <c r="A17" s="995" t="s">
        <v>27</v>
      </c>
      <c r="B17" s="983" t="s">
        <v>832</v>
      </c>
      <c r="C17" s="816" t="s">
        <v>741</v>
      </c>
      <c r="D17" s="741">
        <v>11451478</v>
      </c>
      <c r="E17" s="741">
        <v>16491000</v>
      </c>
    </row>
    <row r="18" spans="1:5" ht="15" x14ac:dyDescent="0.25">
      <c r="A18" s="995" t="s">
        <v>28</v>
      </c>
      <c r="B18" s="983" t="s">
        <v>833</v>
      </c>
      <c r="C18" s="816" t="s">
        <v>742</v>
      </c>
      <c r="D18" s="741">
        <v>6768523</v>
      </c>
      <c r="E18" s="741">
        <v>6150200</v>
      </c>
    </row>
    <row r="19" spans="1:5" ht="15" x14ac:dyDescent="0.25">
      <c r="A19" s="995" t="s">
        <v>29</v>
      </c>
      <c r="B19" s="730" t="s">
        <v>744</v>
      </c>
      <c r="C19" s="725" t="s">
        <v>743</v>
      </c>
      <c r="D19" s="741">
        <v>92841000</v>
      </c>
      <c r="E19" s="741">
        <v>110628000</v>
      </c>
    </row>
    <row r="20" spans="1:5" thickBot="1" x14ac:dyDescent="0.3">
      <c r="A20" s="996" t="s">
        <v>30</v>
      </c>
      <c r="B20" s="979"/>
      <c r="C20" s="722" t="s">
        <v>1059</v>
      </c>
      <c r="D20" s="1035">
        <v>0</v>
      </c>
      <c r="E20" s="1035">
        <v>55902758</v>
      </c>
    </row>
    <row r="21" spans="1:5" thickBot="1" x14ac:dyDescent="0.3">
      <c r="A21" s="993" t="s">
        <v>31</v>
      </c>
      <c r="B21" s="717" t="s">
        <v>86</v>
      </c>
      <c r="C21" s="706" t="s">
        <v>931</v>
      </c>
      <c r="D21" s="711">
        <f>SUM(D15:D20)</f>
        <v>336635833</v>
      </c>
      <c r="E21" s="711">
        <f>SUM(E15:E20)</f>
        <v>495393274</v>
      </c>
    </row>
    <row r="22" spans="1:5" ht="31.65" customHeight="1" thickBot="1" x14ac:dyDescent="0.3">
      <c r="A22" s="997" t="s">
        <v>32</v>
      </c>
      <c r="B22" s="707" t="s">
        <v>746</v>
      </c>
      <c r="C22" s="723" t="s">
        <v>745</v>
      </c>
      <c r="D22" s="743">
        <v>88579194</v>
      </c>
      <c r="E22" s="743">
        <v>77768938</v>
      </c>
    </row>
    <row r="23" spans="1:5" ht="15" x14ac:dyDescent="0.25">
      <c r="A23" s="994" t="s">
        <v>33</v>
      </c>
      <c r="B23" s="984" t="s">
        <v>749</v>
      </c>
      <c r="C23" s="724" t="s">
        <v>747</v>
      </c>
      <c r="D23" s="713">
        <v>9484800</v>
      </c>
      <c r="E23" s="713">
        <v>10628960</v>
      </c>
    </row>
    <row r="24" spans="1:5" ht="15" x14ac:dyDescent="0.25">
      <c r="A24" s="995" t="s">
        <v>34</v>
      </c>
      <c r="B24" s="730" t="s">
        <v>1057</v>
      </c>
      <c r="C24" s="725" t="s">
        <v>748</v>
      </c>
      <c r="D24" s="741">
        <v>36023860</v>
      </c>
      <c r="E24" s="741">
        <v>40363860</v>
      </c>
    </row>
    <row r="25" spans="1:5" ht="15" x14ac:dyDescent="0.25">
      <c r="A25" s="995" t="s">
        <v>35</v>
      </c>
      <c r="B25" s="730" t="s">
        <v>1058</v>
      </c>
      <c r="C25" s="725" t="s">
        <v>801</v>
      </c>
      <c r="D25" s="741">
        <v>17431076</v>
      </c>
      <c r="E25" s="741">
        <v>19144704</v>
      </c>
    </row>
    <row r="26" spans="1:5" ht="15" x14ac:dyDescent="0.25">
      <c r="A26" s="995" t="s">
        <v>36</v>
      </c>
      <c r="B26" s="730" t="s">
        <v>751</v>
      </c>
      <c r="C26" s="725" t="s">
        <v>750</v>
      </c>
      <c r="D26" s="741">
        <v>5333870</v>
      </c>
      <c r="E26" s="741">
        <v>5770480</v>
      </c>
    </row>
    <row r="27" spans="1:5" ht="15" x14ac:dyDescent="0.25">
      <c r="A27" s="995" t="s">
        <v>37</v>
      </c>
      <c r="B27" s="730" t="s">
        <v>754</v>
      </c>
      <c r="C27" s="725" t="s">
        <v>752</v>
      </c>
      <c r="D27" s="741"/>
      <c r="E27" s="741">
        <f>25000-25000</f>
        <v>0</v>
      </c>
    </row>
    <row r="28" spans="1:5" ht="15" x14ac:dyDescent="0.25">
      <c r="A28" s="995" t="s">
        <v>38</v>
      </c>
      <c r="B28" s="730" t="s">
        <v>755</v>
      </c>
      <c r="C28" s="725" t="s">
        <v>753</v>
      </c>
      <c r="D28" s="741">
        <v>35979000</v>
      </c>
      <c r="E28" s="741">
        <v>41572500</v>
      </c>
    </row>
    <row r="29" spans="1:5" ht="15" x14ac:dyDescent="0.25">
      <c r="A29" s="995" t="s">
        <v>39</v>
      </c>
      <c r="B29" s="730" t="s">
        <v>834</v>
      </c>
      <c r="C29" s="725" t="s">
        <v>835</v>
      </c>
      <c r="D29" s="741">
        <v>5612200</v>
      </c>
      <c r="E29" s="741">
        <v>6047200</v>
      </c>
    </row>
    <row r="30" spans="1:5" ht="15" x14ac:dyDescent="0.25">
      <c r="A30" s="995" t="s">
        <v>40</v>
      </c>
      <c r="B30" s="730" t="s">
        <v>757</v>
      </c>
      <c r="C30" s="725" t="s">
        <v>756</v>
      </c>
      <c r="D30" s="741">
        <v>5735340</v>
      </c>
      <c r="E30" s="741">
        <v>6296940</v>
      </c>
    </row>
    <row r="31" spans="1:5" ht="15" x14ac:dyDescent="0.25">
      <c r="A31" s="995" t="s">
        <v>41</v>
      </c>
      <c r="B31" s="730" t="s">
        <v>758</v>
      </c>
      <c r="C31" s="725" t="s">
        <v>768</v>
      </c>
      <c r="D31" s="741">
        <v>3000000</v>
      </c>
      <c r="E31" s="741">
        <v>3000000</v>
      </c>
    </row>
    <row r="32" spans="1:5" ht="15" x14ac:dyDescent="0.25">
      <c r="A32" s="995" t="s">
        <v>42</v>
      </c>
      <c r="B32" s="730" t="s">
        <v>759</v>
      </c>
      <c r="C32" s="725" t="s">
        <v>769</v>
      </c>
      <c r="D32" s="741">
        <v>38624020</v>
      </c>
      <c r="E32" s="741">
        <v>45998000</v>
      </c>
    </row>
    <row r="33" spans="1:5" thickBot="1" x14ac:dyDescent="0.3">
      <c r="A33" s="995" t="s">
        <v>43</v>
      </c>
      <c r="B33" s="730" t="s">
        <v>798</v>
      </c>
      <c r="C33" s="725" t="s">
        <v>797</v>
      </c>
      <c r="D33" s="741">
        <v>139252307</v>
      </c>
      <c r="E33" s="741">
        <v>154352372</v>
      </c>
    </row>
    <row r="34" spans="1:5" thickBot="1" x14ac:dyDescent="0.3">
      <c r="A34" s="998" t="s">
        <v>709</v>
      </c>
      <c r="B34" s="718" t="s">
        <v>837</v>
      </c>
      <c r="C34" s="706" t="s">
        <v>933</v>
      </c>
      <c r="D34" s="709">
        <f>SUM(D23:D33)</f>
        <v>296476473</v>
      </c>
      <c r="E34" s="709">
        <f>SUM(E23:E33)</f>
        <v>333175016</v>
      </c>
    </row>
    <row r="35" spans="1:5" ht="15" x14ac:dyDescent="0.25">
      <c r="A35" s="999" t="s">
        <v>777</v>
      </c>
      <c r="B35" s="985" t="s">
        <v>763</v>
      </c>
      <c r="C35" s="731" t="s">
        <v>760</v>
      </c>
      <c r="D35" s="1036">
        <v>64637329</v>
      </c>
      <c r="E35" s="1036">
        <v>76698000</v>
      </c>
    </row>
    <row r="36" spans="1:5" ht="15" x14ac:dyDescent="0.25">
      <c r="A36" s="999" t="s">
        <v>778</v>
      </c>
      <c r="B36" s="985" t="s">
        <v>764</v>
      </c>
      <c r="C36" s="731" t="s">
        <v>761</v>
      </c>
      <c r="D36" s="1037">
        <v>59623900</v>
      </c>
      <c r="E36" s="1037">
        <v>57439200</v>
      </c>
    </row>
    <row r="37" spans="1:5" thickBot="1" x14ac:dyDescent="0.3">
      <c r="A37" s="1000" t="s">
        <v>779</v>
      </c>
      <c r="B37" s="986" t="s">
        <v>765</v>
      </c>
      <c r="C37" s="732" t="s">
        <v>762</v>
      </c>
      <c r="D37" s="1037">
        <v>22018000</v>
      </c>
      <c r="E37" s="1037">
        <v>10804195</v>
      </c>
    </row>
    <row r="38" spans="1:5" thickBot="1" x14ac:dyDescent="0.3">
      <c r="A38" s="998" t="s">
        <v>786</v>
      </c>
      <c r="B38" s="718" t="s">
        <v>766</v>
      </c>
      <c r="C38" s="733" t="s">
        <v>767</v>
      </c>
      <c r="D38" s="709">
        <f>SUM(D35:D37)</f>
        <v>146279229</v>
      </c>
      <c r="E38" s="709">
        <f>SUM(E35:E37)</f>
        <v>144941395</v>
      </c>
    </row>
    <row r="39" spans="1:5" ht="15" x14ac:dyDescent="0.25">
      <c r="A39" s="990" t="s">
        <v>787</v>
      </c>
      <c r="B39" s="715" t="s">
        <v>770</v>
      </c>
      <c r="C39" s="734" t="s">
        <v>774</v>
      </c>
      <c r="D39" s="819">
        <v>223996500</v>
      </c>
      <c r="E39" s="819">
        <v>253711500</v>
      </c>
    </row>
    <row r="40" spans="1:5" thickBot="1" x14ac:dyDescent="0.3">
      <c r="A40" s="992" t="s">
        <v>788</v>
      </c>
      <c r="B40" s="719" t="s">
        <v>771</v>
      </c>
      <c r="C40" s="735" t="s">
        <v>773</v>
      </c>
      <c r="D40" s="1038">
        <v>50806185</v>
      </c>
      <c r="E40" s="1038">
        <v>87848557</v>
      </c>
    </row>
    <row r="41" spans="1:5" ht="30.15" customHeight="1" thickBot="1" x14ac:dyDescent="0.3">
      <c r="A41" s="1001" t="s">
        <v>789</v>
      </c>
      <c r="B41" s="720" t="s">
        <v>772</v>
      </c>
      <c r="C41" s="736" t="s">
        <v>776</v>
      </c>
      <c r="D41" s="743">
        <f>SUM(D39:D40)</f>
        <v>274802685</v>
      </c>
      <c r="E41" s="743">
        <f>SUM(E39:E40)</f>
        <v>341560057</v>
      </c>
    </row>
    <row r="42" spans="1:5" ht="30.6" thickBot="1" x14ac:dyDescent="0.3">
      <c r="A42" s="993" t="s">
        <v>791</v>
      </c>
      <c r="B42" s="717" t="s">
        <v>775</v>
      </c>
      <c r="C42" s="710" t="s">
        <v>934</v>
      </c>
      <c r="D42" s="711">
        <f>D22+D34+D38+D41</f>
        <v>806137581</v>
      </c>
      <c r="E42" s="711">
        <f>E22+E34+E38+E41</f>
        <v>897445406</v>
      </c>
    </row>
    <row r="43" spans="1:5" ht="15" x14ac:dyDescent="0.25">
      <c r="A43" s="1002" t="s">
        <v>792</v>
      </c>
      <c r="B43" s="738" t="s">
        <v>780</v>
      </c>
      <c r="C43" s="712" t="s">
        <v>785</v>
      </c>
      <c r="D43" s="1104">
        <v>94929660</v>
      </c>
      <c r="E43" s="713">
        <v>117324200</v>
      </c>
    </row>
    <row r="44" spans="1:5" ht="15" x14ac:dyDescent="0.25">
      <c r="A44" s="999" t="s">
        <v>794</v>
      </c>
      <c r="B44" s="985" t="s">
        <v>781</v>
      </c>
      <c r="C44" s="731" t="s">
        <v>784</v>
      </c>
      <c r="D44" s="741">
        <v>221990827</v>
      </c>
      <c r="E44" s="741">
        <v>200060257</v>
      </c>
    </row>
    <row r="45" spans="1:5" thickBot="1" x14ac:dyDescent="0.3">
      <c r="A45" s="1003" t="s">
        <v>802</v>
      </c>
      <c r="B45" s="987" t="s">
        <v>782</v>
      </c>
      <c r="C45" s="732" t="s">
        <v>783</v>
      </c>
      <c r="D45" s="1039">
        <v>42972984</v>
      </c>
      <c r="E45" s="1039">
        <v>38501505</v>
      </c>
    </row>
    <row r="46" spans="1:5" ht="30.6" thickBot="1" x14ac:dyDescent="0.3">
      <c r="A46" s="993" t="s">
        <v>803</v>
      </c>
      <c r="B46" s="717" t="s">
        <v>88</v>
      </c>
      <c r="C46" s="737" t="s">
        <v>935</v>
      </c>
      <c r="D46" s="711">
        <f>SUM(D43:D45)</f>
        <v>359893471</v>
      </c>
      <c r="E46" s="711">
        <f>SUM(E43:E45)</f>
        <v>355885962</v>
      </c>
    </row>
    <row r="47" spans="1:5" ht="15" x14ac:dyDescent="0.25">
      <c r="A47" s="990" t="s">
        <v>838</v>
      </c>
      <c r="B47" s="715" t="s">
        <v>790</v>
      </c>
      <c r="C47" s="739" t="s">
        <v>793</v>
      </c>
      <c r="D47" s="820">
        <v>28547700</v>
      </c>
      <c r="E47" s="820">
        <v>28536635</v>
      </c>
    </row>
    <row r="48" spans="1:5" ht="15" x14ac:dyDescent="0.25">
      <c r="A48" s="1080" t="s">
        <v>804</v>
      </c>
      <c r="B48" s="1081" t="s">
        <v>987</v>
      </c>
      <c r="C48" s="1082" t="s">
        <v>988</v>
      </c>
      <c r="D48" s="713">
        <v>4812000</v>
      </c>
      <c r="E48" s="713">
        <v>0</v>
      </c>
    </row>
    <row r="49" spans="1:6" ht="15" x14ac:dyDescent="0.25">
      <c r="A49" s="1004" t="s">
        <v>805</v>
      </c>
      <c r="B49" s="988" t="s">
        <v>799</v>
      </c>
      <c r="C49" s="813" t="s">
        <v>800</v>
      </c>
      <c r="D49" s="814">
        <v>12600000</v>
      </c>
      <c r="E49" s="814">
        <v>12600000</v>
      </c>
    </row>
    <row r="50" spans="1:6" ht="15" x14ac:dyDescent="0.25">
      <c r="A50" s="991" t="s">
        <v>828</v>
      </c>
      <c r="B50" s="716" t="s">
        <v>829</v>
      </c>
      <c r="C50" s="1044" t="s">
        <v>830</v>
      </c>
      <c r="D50" s="741">
        <v>1404000</v>
      </c>
      <c r="E50" s="741">
        <v>0</v>
      </c>
    </row>
    <row r="51" spans="1:6" thickBot="1" x14ac:dyDescent="0.3">
      <c r="A51" s="992" t="s">
        <v>836</v>
      </c>
      <c r="B51" s="719" t="s">
        <v>943</v>
      </c>
      <c r="C51" s="815" t="s">
        <v>944</v>
      </c>
      <c r="D51" s="742">
        <v>13275647</v>
      </c>
      <c r="E51" s="742">
        <v>18087647</v>
      </c>
    </row>
    <row r="52" spans="1:6" ht="30.6" thickBot="1" x14ac:dyDescent="0.3">
      <c r="A52" s="993" t="s">
        <v>932</v>
      </c>
      <c r="B52" s="717" t="s">
        <v>111</v>
      </c>
      <c r="C52" s="737" t="s">
        <v>984</v>
      </c>
      <c r="D52" s="711">
        <f>SUM(D47:D51)</f>
        <v>60639347</v>
      </c>
      <c r="E52" s="711">
        <f>SUM(E47:E51)</f>
        <v>59224282</v>
      </c>
    </row>
    <row r="53" spans="1:6" ht="20.25" customHeight="1" thickBot="1" x14ac:dyDescent="0.3">
      <c r="A53" s="993" t="s">
        <v>945</v>
      </c>
      <c r="B53" s="717" t="s">
        <v>795</v>
      </c>
      <c r="C53" s="740" t="s">
        <v>796</v>
      </c>
      <c r="D53" s="711">
        <v>-19789124</v>
      </c>
      <c r="E53" s="711">
        <v>-41408678</v>
      </c>
    </row>
    <row r="54" spans="1:6" thickBot="1" x14ac:dyDescent="0.3">
      <c r="A54" s="980" t="s">
        <v>985</v>
      </c>
      <c r="B54" s="1394" t="s">
        <v>986</v>
      </c>
      <c r="C54" s="1395"/>
      <c r="D54" s="744">
        <f>D14+D21+D42+D46+D52+D53</f>
        <v>1988733835</v>
      </c>
      <c r="E54" s="744">
        <f>E14+E21+E42+E46+E52+E53</f>
        <v>2102068161</v>
      </c>
      <c r="F54" s="245"/>
    </row>
    <row r="56" spans="1:6" x14ac:dyDescent="0.3">
      <c r="B56" s="727"/>
      <c r="C56" s="726"/>
    </row>
    <row r="57" spans="1:6" hidden="1" x14ac:dyDescent="0.3">
      <c r="B57" s="727"/>
      <c r="C57" s="726"/>
      <c r="D57" s="745" t="s">
        <v>1006</v>
      </c>
      <c r="E57" s="229">
        <f>'1. sz.mell. '!C12+'1. sz.mell. '!C13+'1. sz.mell. '!C14+'1. sz.mell. '!C17-'1. sz.mell. '!C106</f>
        <v>2102068161</v>
      </c>
    </row>
    <row r="58" spans="1:6" x14ac:dyDescent="0.3">
      <c r="B58" s="728"/>
      <c r="C58" s="729"/>
    </row>
    <row r="59" spans="1:6" x14ac:dyDescent="0.3">
      <c r="B59" s="727"/>
      <c r="C59" s="726"/>
    </row>
  </sheetData>
  <mergeCells count="4">
    <mergeCell ref="B54:C54"/>
    <mergeCell ref="A3:E3"/>
    <mergeCell ref="A1:E1"/>
    <mergeCell ref="D2:E2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41"/>
  <sheetViews>
    <sheetView view="pageBreakPreview" topLeftCell="A25" zoomScale="130" zoomScaleNormal="130" zoomScaleSheetLayoutView="130" workbookViewId="0">
      <selection activeCell="C9" sqref="C9"/>
    </sheetView>
  </sheetViews>
  <sheetFormatPr defaultRowHeight="13.2" x14ac:dyDescent="0.25"/>
  <cols>
    <col min="1" max="1" width="6.6640625" customWidth="1"/>
    <col min="2" max="2" width="43.33203125" customWidth="1"/>
    <col min="3" max="3" width="31.109375" customWidth="1"/>
    <col min="4" max="4" width="17.44140625" bestFit="1" customWidth="1"/>
  </cols>
  <sheetData>
    <row r="1" spans="1:4" x14ac:dyDescent="0.25">
      <c r="A1" s="1332" t="str">
        <f>CONCATENATE("25. melléklet ",ALAPADATOK!A7," ",ALAPADATOK!B7," ",ALAPADATOK!C7," ",ALAPADATOK!D7," ",ALAPADATOK!E7," ",ALAPADATOK!F7," ",ALAPADATOK!G7," ",ALAPADATOK!H7)</f>
        <v>25. melléklet a …. / 2024. ( .... ) önkormányzati rendelethez</v>
      </c>
      <c r="B1" s="1332"/>
      <c r="C1" s="1332"/>
      <c r="D1" s="1332"/>
    </row>
    <row r="2" spans="1:4" x14ac:dyDescent="0.25">
      <c r="D2" s="967" t="s">
        <v>922</v>
      </c>
    </row>
    <row r="3" spans="1:4" ht="45" customHeight="1" x14ac:dyDescent="0.3">
      <c r="A3" s="1399" t="s">
        <v>1031</v>
      </c>
      <c r="B3" s="1399"/>
      <c r="C3" s="1399"/>
      <c r="D3" s="1399"/>
    </row>
    <row r="4" spans="1:4" ht="17.399999999999999" customHeight="1" x14ac:dyDescent="0.3">
      <c r="A4" s="644"/>
      <c r="B4" s="644"/>
      <c r="C4" s="644"/>
      <c r="D4" s="529"/>
    </row>
    <row r="5" spans="1:4" ht="13.8" thickBot="1" x14ac:dyDescent="0.3">
      <c r="C5" s="1400"/>
      <c r="D5" s="1400"/>
    </row>
    <row r="6" spans="1:4" ht="42.75" customHeight="1" thickBot="1" x14ac:dyDescent="0.3">
      <c r="A6" s="962" t="s">
        <v>691</v>
      </c>
      <c r="B6" s="530" t="s">
        <v>107</v>
      </c>
      <c r="C6" s="530" t="s">
        <v>108</v>
      </c>
      <c r="D6" s="904" t="s">
        <v>880</v>
      </c>
    </row>
    <row r="7" spans="1:4" ht="15.9" customHeight="1" x14ac:dyDescent="0.25">
      <c r="A7" s="965" t="s">
        <v>16</v>
      </c>
      <c r="B7" s="963" t="s">
        <v>366</v>
      </c>
      <c r="C7" s="895" t="s">
        <v>367</v>
      </c>
      <c r="D7" s="896">
        <v>8000000</v>
      </c>
    </row>
    <row r="8" spans="1:4" ht="15.9" customHeight="1" x14ac:dyDescent="0.25">
      <c r="A8" s="966" t="s">
        <v>17</v>
      </c>
      <c r="B8" s="964" t="s">
        <v>946</v>
      </c>
      <c r="C8" s="24" t="s">
        <v>367</v>
      </c>
      <c r="D8" s="823">
        <v>3500000</v>
      </c>
    </row>
    <row r="9" spans="1:4" ht="15.9" customHeight="1" x14ac:dyDescent="0.25">
      <c r="A9" s="966" t="s">
        <v>18</v>
      </c>
      <c r="B9" s="964" t="s">
        <v>947</v>
      </c>
      <c r="C9" s="24" t="s">
        <v>367</v>
      </c>
      <c r="D9" s="823">
        <v>1500000</v>
      </c>
    </row>
    <row r="10" spans="1:4" ht="15.9" customHeight="1" x14ac:dyDescent="0.25">
      <c r="A10" s="966" t="s">
        <v>19</v>
      </c>
      <c r="B10" s="964" t="s">
        <v>948</v>
      </c>
      <c r="C10" s="24" t="s">
        <v>367</v>
      </c>
      <c r="D10" s="823">
        <v>9000000</v>
      </c>
    </row>
    <row r="11" spans="1:4" ht="15.9" customHeight="1" x14ac:dyDescent="0.25">
      <c r="A11" s="966" t="s">
        <v>20</v>
      </c>
      <c r="B11" s="964" t="s">
        <v>368</v>
      </c>
      <c r="C11" s="24" t="s">
        <v>367</v>
      </c>
      <c r="D11" s="823">
        <v>500000</v>
      </c>
    </row>
    <row r="12" spans="1:4" ht="15.9" customHeight="1" x14ac:dyDescent="0.25">
      <c r="A12" s="966" t="s">
        <v>21</v>
      </c>
      <c r="B12" s="964" t="s">
        <v>949</v>
      </c>
      <c r="C12" s="24" t="s">
        <v>367</v>
      </c>
      <c r="D12" s="823">
        <v>1500000</v>
      </c>
    </row>
    <row r="13" spans="1:4" ht="15.9" customHeight="1" x14ac:dyDescent="0.25">
      <c r="A13" s="966" t="s">
        <v>22</v>
      </c>
      <c r="B13" s="964" t="s">
        <v>950</v>
      </c>
      <c r="C13" s="24" t="s">
        <v>367</v>
      </c>
      <c r="D13" s="823">
        <v>300000</v>
      </c>
    </row>
    <row r="14" spans="1:4" ht="15.9" customHeight="1" x14ac:dyDescent="0.25">
      <c r="A14" s="966" t="s">
        <v>23</v>
      </c>
      <c r="B14" s="964" t="s">
        <v>951</v>
      </c>
      <c r="C14" s="24" t="s">
        <v>367</v>
      </c>
      <c r="D14" s="823">
        <v>150000</v>
      </c>
    </row>
    <row r="15" spans="1:4" ht="15.9" customHeight="1" x14ac:dyDescent="0.25">
      <c r="A15" s="966" t="s">
        <v>24</v>
      </c>
      <c r="B15" s="964" t="s">
        <v>952</v>
      </c>
      <c r="C15" s="24" t="s">
        <v>367</v>
      </c>
      <c r="D15" s="823">
        <v>150000</v>
      </c>
    </row>
    <row r="16" spans="1:4" ht="15.9" customHeight="1" x14ac:dyDescent="0.25">
      <c r="A16" s="966" t="s">
        <v>25</v>
      </c>
      <c r="B16" s="964" t="s">
        <v>953</v>
      </c>
      <c r="C16" s="24" t="s">
        <v>367</v>
      </c>
      <c r="D16" s="823">
        <v>150000</v>
      </c>
    </row>
    <row r="17" spans="1:4" ht="15.9" customHeight="1" x14ac:dyDescent="0.25">
      <c r="A17" s="966" t="s">
        <v>26</v>
      </c>
      <c r="B17" s="964" t="s">
        <v>954</v>
      </c>
      <c r="C17" s="24" t="s">
        <v>367</v>
      </c>
      <c r="D17" s="823">
        <v>150000</v>
      </c>
    </row>
    <row r="18" spans="1:4" ht="15.9" customHeight="1" x14ac:dyDescent="0.25">
      <c r="A18" s="966" t="s">
        <v>27</v>
      </c>
      <c r="B18" s="964" t="s">
        <v>955</v>
      </c>
      <c r="C18" s="24" t="s">
        <v>367</v>
      </c>
      <c r="D18" s="823">
        <v>150000</v>
      </c>
    </row>
    <row r="19" spans="1:4" ht="15.9" customHeight="1" x14ac:dyDescent="0.25">
      <c r="A19" s="966" t="s">
        <v>28</v>
      </c>
      <c r="B19" s="964" t="s">
        <v>956</v>
      </c>
      <c r="C19" s="24" t="s">
        <v>367</v>
      </c>
      <c r="D19" s="823">
        <v>150000</v>
      </c>
    </row>
    <row r="20" spans="1:4" ht="15.9" customHeight="1" x14ac:dyDescent="0.25">
      <c r="A20" s="966" t="s">
        <v>29</v>
      </c>
      <c r="B20" s="964" t="s">
        <v>957</v>
      </c>
      <c r="C20" s="24" t="s">
        <v>367</v>
      </c>
      <c r="D20" s="823">
        <v>150000</v>
      </c>
    </row>
    <row r="21" spans="1:4" ht="15.9" customHeight="1" x14ac:dyDescent="0.25">
      <c r="A21" s="966" t="s">
        <v>30</v>
      </c>
      <c r="B21" s="964" t="s">
        <v>958</v>
      </c>
      <c r="C21" s="24" t="s">
        <v>367</v>
      </c>
      <c r="D21" s="823">
        <v>150000</v>
      </c>
    </row>
    <row r="22" spans="1:4" ht="15.9" customHeight="1" x14ac:dyDescent="0.25">
      <c r="A22" s="966" t="s">
        <v>31</v>
      </c>
      <c r="B22" s="964" t="s">
        <v>959</v>
      </c>
      <c r="C22" s="24" t="s">
        <v>367</v>
      </c>
      <c r="D22" s="823">
        <v>150000</v>
      </c>
    </row>
    <row r="23" spans="1:4" ht="15.9" customHeight="1" x14ac:dyDescent="0.25">
      <c r="A23" s="966" t="s">
        <v>32</v>
      </c>
      <c r="B23" s="964" t="s">
        <v>960</v>
      </c>
      <c r="C23" s="24" t="s">
        <v>367</v>
      </c>
      <c r="D23" s="823">
        <v>150000</v>
      </c>
    </row>
    <row r="24" spans="1:4" ht="15.9" customHeight="1" x14ac:dyDescent="0.25">
      <c r="A24" s="966" t="s">
        <v>33</v>
      </c>
      <c r="B24" s="964" t="s">
        <v>961</v>
      </c>
      <c r="C24" s="24" t="s">
        <v>367</v>
      </c>
      <c r="D24" s="823">
        <v>150000</v>
      </c>
    </row>
    <row r="25" spans="1:4" ht="15.9" customHeight="1" x14ac:dyDescent="0.25">
      <c r="A25" s="966" t="s">
        <v>34</v>
      </c>
      <c r="B25" s="964" t="s">
        <v>962</v>
      </c>
      <c r="C25" s="24" t="s">
        <v>367</v>
      </c>
      <c r="D25" s="823">
        <v>150000</v>
      </c>
    </row>
    <row r="26" spans="1:4" ht="15.9" customHeight="1" x14ac:dyDescent="0.25">
      <c r="A26" s="966" t="s">
        <v>35</v>
      </c>
      <c r="B26" s="964" t="s">
        <v>963</v>
      </c>
      <c r="C26" s="24" t="s">
        <v>367</v>
      </c>
      <c r="D26" s="823">
        <v>150000</v>
      </c>
    </row>
    <row r="27" spans="1:4" ht="15.9" customHeight="1" x14ac:dyDescent="0.25">
      <c r="A27" s="966" t="s">
        <v>36</v>
      </c>
      <c r="B27" s="964" t="s">
        <v>964</v>
      </c>
      <c r="C27" s="24" t="s">
        <v>367</v>
      </c>
      <c r="D27" s="823">
        <v>150000</v>
      </c>
    </row>
    <row r="28" spans="1:4" ht="15.9" customHeight="1" x14ac:dyDescent="0.25">
      <c r="A28" s="966" t="s">
        <v>37</v>
      </c>
      <c r="B28" s="964" t="s">
        <v>965</v>
      </c>
      <c r="C28" s="24" t="s">
        <v>367</v>
      </c>
      <c r="D28" s="823">
        <v>150000</v>
      </c>
    </row>
    <row r="29" spans="1:4" ht="15.9" customHeight="1" x14ac:dyDescent="0.25">
      <c r="A29" s="966" t="s">
        <v>38</v>
      </c>
      <c r="B29" s="964" t="s">
        <v>369</v>
      </c>
      <c r="C29" s="603" t="s">
        <v>367</v>
      </c>
      <c r="D29" s="823">
        <v>700000</v>
      </c>
    </row>
    <row r="30" spans="1:4" ht="15.9" customHeight="1" x14ac:dyDescent="0.25">
      <c r="A30" s="966" t="s">
        <v>39</v>
      </c>
      <c r="B30" s="964" t="s">
        <v>369</v>
      </c>
      <c r="C30" s="603" t="s">
        <v>370</v>
      </c>
      <c r="D30" s="823">
        <v>300000</v>
      </c>
    </row>
    <row r="31" spans="1:4" ht="15.9" customHeight="1" x14ac:dyDescent="0.25">
      <c r="A31" s="966" t="s">
        <v>40</v>
      </c>
      <c r="B31" s="964" t="s">
        <v>908</v>
      </c>
      <c r="C31" s="603" t="s">
        <v>367</v>
      </c>
      <c r="D31" s="823">
        <f>2090159+175986</f>
        <v>2266145</v>
      </c>
    </row>
    <row r="32" spans="1:4" ht="15.9" customHeight="1" x14ac:dyDescent="0.25">
      <c r="A32" s="966" t="s">
        <v>41</v>
      </c>
      <c r="B32" s="964" t="s">
        <v>908</v>
      </c>
      <c r="C32" s="603" t="s">
        <v>370</v>
      </c>
      <c r="D32" s="823">
        <f>1423277+577815</f>
        <v>2001092</v>
      </c>
    </row>
    <row r="33" spans="1:4" ht="15.9" customHeight="1" x14ac:dyDescent="0.25">
      <c r="A33" s="966" t="s">
        <v>42</v>
      </c>
      <c r="B33" s="964" t="s">
        <v>500</v>
      </c>
      <c r="C33" s="603" t="s">
        <v>367</v>
      </c>
      <c r="D33" s="823">
        <f>136000000+7200000</f>
        <v>143200000</v>
      </c>
    </row>
    <row r="34" spans="1:4" ht="15.9" customHeight="1" x14ac:dyDescent="0.25">
      <c r="A34" s="966" t="s">
        <v>43</v>
      </c>
      <c r="B34" s="964" t="s">
        <v>502</v>
      </c>
      <c r="C34" s="603" t="s">
        <v>367</v>
      </c>
      <c r="D34" s="823">
        <v>500000</v>
      </c>
    </row>
    <row r="35" spans="1:4" ht="15.9" customHeight="1" x14ac:dyDescent="0.25">
      <c r="A35" s="966" t="s">
        <v>709</v>
      </c>
      <c r="B35" s="964" t="s">
        <v>989</v>
      </c>
      <c r="C35" s="603" t="s">
        <v>367</v>
      </c>
      <c r="D35" s="823">
        <v>4200000</v>
      </c>
    </row>
    <row r="36" spans="1:4" ht="15.9" customHeight="1" x14ac:dyDescent="0.25">
      <c r="A36" s="966" t="s">
        <v>778</v>
      </c>
      <c r="B36" s="964" t="s">
        <v>993</v>
      </c>
      <c r="C36" s="603" t="s">
        <v>367</v>
      </c>
      <c r="D36" s="823">
        <v>124399008</v>
      </c>
    </row>
    <row r="37" spans="1:4" ht="15.9" customHeight="1" x14ac:dyDescent="0.25">
      <c r="A37" s="966" t="s">
        <v>786</v>
      </c>
      <c r="B37" s="964" t="s">
        <v>1060</v>
      </c>
      <c r="C37" s="603" t="s">
        <v>367</v>
      </c>
      <c r="D37" s="823">
        <v>1065618</v>
      </c>
    </row>
    <row r="38" spans="1:4" ht="15.9" customHeight="1" thickBot="1" x14ac:dyDescent="0.3">
      <c r="A38" s="966" t="s">
        <v>789</v>
      </c>
      <c r="B38" s="964" t="s">
        <v>1061</v>
      </c>
      <c r="C38" s="603" t="s">
        <v>367</v>
      </c>
      <c r="D38" s="823">
        <v>2027870</v>
      </c>
    </row>
    <row r="39" spans="1:4" ht="15.9" customHeight="1" thickBot="1" x14ac:dyDescent="0.3">
      <c r="A39" s="973" t="s">
        <v>791</v>
      </c>
      <c r="B39" s="1401" t="s">
        <v>1007</v>
      </c>
      <c r="C39" s="1402"/>
      <c r="D39" s="824">
        <f>SUM(D7:D38)</f>
        <v>307209733</v>
      </c>
    </row>
    <row r="40" spans="1:4" ht="13.8" thickBot="1" x14ac:dyDescent="0.3"/>
    <row r="41" spans="1:4" ht="13.8" thickBot="1" x14ac:dyDescent="0.3">
      <c r="D41" s="1095">
        <f>'1. sz.mell. '!C133+'1. sz.mell. '!C116</f>
        <v>307209733</v>
      </c>
    </row>
  </sheetData>
  <mergeCells count="4">
    <mergeCell ref="A1:D1"/>
    <mergeCell ref="A3:D3"/>
    <mergeCell ref="C5:D5"/>
    <mergeCell ref="B39:C39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9"/>
  <sheetViews>
    <sheetView tabSelected="1" zoomScaleNormal="100" zoomScaleSheetLayoutView="85" zoomScalePageLayoutView="85" workbookViewId="0">
      <selection activeCell="C5" sqref="C5"/>
    </sheetView>
  </sheetViews>
  <sheetFormatPr defaultColWidth="10.6640625" defaultRowHeight="12.6" x14ac:dyDescent="0.25"/>
  <cols>
    <col min="1" max="1" width="8.77734375" style="622" customWidth="1"/>
    <col min="2" max="2" width="42.33203125" style="622" customWidth="1"/>
    <col min="3" max="3" width="15.44140625" style="287" bestFit="1" customWidth="1"/>
    <col min="4" max="4" width="15.109375" style="287" bestFit="1" customWidth="1"/>
    <col min="5" max="5" width="14.77734375" style="287" customWidth="1"/>
    <col min="6" max="7" width="15.109375" style="287" bestFit="1" customWidth="1"/>
    <col min="8" max="8" width="15.44140625" style="542" bestFit="1" customWidth="1"/>
    <col min="9" max="10" width="15.109375" style="622" bestFit="1" customWidth="1"/>
    <col min="11" max="11" width="15.33203125" style="622" bestFit="1" customWidth="1"/>
    <col min="12" max="12" width="15.109375" style="622" bestFit="1" customWidth="1"/>
    <col min="13" max="13" width="13.6640625" style="622" bestFit="1" customWidth="1"/>
    <col min="14" max="14" width="15.6640625" style="288" bestFit="1" customWidth="1"/>
    <col min="15" max="15" width="15.109375" style="622" customWidth="1"/>
    <col min="16" max="16384" width="10.6640625" style="622"/>
  </cols>
  <sheetData>
    <row r="1" spans="1:193" ht="13.2" x14ac:dyDescent="0.25">
      <c r="A1" s="1403" t="str">
        <f>CONCATENATE("25. melléklet ",ALAPADATOK!A7," ",ALAPADATOK!B7," ",ALAPADATOK!C7," ",ALAPADATOK!D7," ",ALAPADATOK!E7," ",ALAPADATOK!F7," ",ALAPADATOK!G7," ",ALAPADATOK!H7)</f>
        <v>25. melléklet a …. / 2024. ( .... ) önkormányzati rendelethez</v>
      </c>
      <c r="B1" s="1403"/>
      <c r="C1" s="1403"/>
      <c r="D1" s="1403"/>
      <c r="E1" s="1403"/>
      <c r="F1" s="1403"/>
      <c r="G1" s="1403"/>
      <c r="H1" s="1403"/>
      <c r="I1" s="1403"/>
      <c r="J1" s="1403"/>
      <c r="K1" s="1403"/>
      <c r="L1" s="1403"/>
      <c r="M1" s="1403"/>
      <c r="N1" s="1403"/>
    </row>
    <row r="2" spans="1:193" ht="12.75" customHeight="1" x14ac:dyDescent="0.25">
      <c r="B2" s="289"/>
      <c r="F2" s="290"/>
      <c r="I2" s="289"/>
      <c r="J2" s="1398" t="s">
        <v>923</v>
      </c>
      <c r="K2" s="1404"/>
      <c r="L2" s="1404"/>
      <c r="M2" s="1404"/>
      <c r="N2" s="1404"/>
    </row>
    <row r="3" spans="1:193" ht="17.399999999999999" customHeight="1" x14ac:dyDescent="0.35">
      <c r="A3" s="1405" t="s">
        <v>1032</v>
      </c>
      <c r="B3" s="1405"/>
      <c r="C3" s="1405"/>
      <c r="D3" s="1405"/>
      <c r="E3" s="1405"/>
      <c r="F3" s="1405"/>
      <c r="G3" s="1405"/>
      <c r="H3" s="1405"/>
      <c r="I3" s="1405"/>
      <c r="J3" s="1405"/>
      <c r="K3" s="1405"/>
      <c r="L3" s="1405"/>
      <c r="M3" s="1405"/>
      <c r="N3" s="1405"/>
    </row>
    <row r="4" spans="1:193" ht="18" x14ac:dyDescent="0.35">
      <c r="A4" s="1406" t="s">
        <v>371</v>
      </c>
      <c r="B4" s="1406"/>
      <c r="C4" s="1406"/>
      <c r="D4" s="1406"/>
      <c r="E4" s="1406"/>
      <c r="F4" s="1406"/>
      <c r="G4" s="1406"/>
      <c r="H4" s="1406"/>
      <c r="I4" s="1406"/>
      <c r="J4" s="1406"/>
      <c r="K4" s="1406"/>
      <c r="L4" s="1406"/>
      <c r="M4" s="1406"/>
      <c r="N4" s="1406"/>
    </row>
    <row r="5" spans="1:193" ht="17.399999999999999" thickBot="1" x14ac:dyDescent="0.35">
      <c r="B5" s="294"/>
      <c r="C5" s="292"/>
      <c r="D5" s="292"/>
      <c r="E5" s="292"/>
      <c r="F5" s="292"/>
      <c r="G5" s="292"/>
      <c r="H5" s="543"/>
      <c r="I5" s="293"/>
      <c r="J5" s="293"/>
      <c r="K5" s="293"/>
      <c r="L5" s="293"/>
      <c r="M5" s="293"/>
      <c r="N5" s="291"/>
    </row>
    <row r="6" spans="1:193" ht="15.75" customHeight="1" x14ac:dyDescent="0.3">
      <c r="A6" s="1410" t="s">
        <v>575</v>
      </c>
      <c r="B6" s="1412" t="s">
        <v>151</v>
      </c>
      <c r="C6" s="1407" t="s">
        <v>372</v>
      </c>
      <c r="D6" s="1408"/>
      <c r="E6" s="1408"/>
      <c r="F6" s="1408"/>
      <c r="G6" s="1408"/>
      <c r="H6" s="1409"/>
      <c r="I6" s="1407" t="s">
        <v>373</v>
      </c>
      <c r="J6" s="1408"/>
      <c r="K6" s="1408"/>
      <c r="L6" s="1408"/>
      <c r="M6" s="1408"/>
      <c r="N6" s="1409"/>
    </row>
    <row r="7" spans="1:193" ht="27" customHeight="1" thickBot="1" x14ac:dyDescent="0.3">
      <c r="A7" s="1411"/>
      <c r="B7" s="1413"/>
      <c r="C7" s="905" t="s">
        <v>351</v>
      </c>
      <c r="D7" s="906" t="s">
        <v>9</v>
      </c>
      <c r="E7" s="906" t="s">
        <v>125</v>
      </c>
      <c r="F7" s="906" t="s">
        <v>872</v>
      </c>
      <c r="G7" s="906" t="s">
        <v>472</v>
      </c>
      <c r="H7" s="907" t="s">
        <v>1033</v>
      </c>
      <c r="I7" s="905" t="s">
        <v>873</v>
      </c>
      <c r="J7" s="906" t="s">
        <v>859</v>
      </c>
      <c r="K7" s="906" t="s">
        <v>874</v>
      </c>
      <c r="L7" s="906" t="s">
        <v>109</v>
      </c>
      <c r="M7" s="906" t="s">
        <v>377</v>
      </c>
      <c r="N7" s="908" t="s">
        <v>1034</v>
      </c>
    </row>
    <row r="8" spans="1:193" ht="14.4" thickBot="1" x14ac:dyDescent="0.35">
      <c r="A8" s="1416" t="s">
        <v>576</v>
      </c>
      <c r="B8" s="1417"/>
      <c r="C8" s="1418"/>
      <c r="D8" s="1418"/>
      <c r="E8" s="1418"/>
      <c r="F8" s="1418"/>
      <c r="G8" s="1418"/>
      <c r="H8" s="1418"/>
      <c r="I8" s="1418"/>
      <c r="J8" s="1418"/>
      <c r="K8" s="1418"/>
      <c r="L8" s="1418"/>
      <c r="M8" s="1418"/>
      <c r="N8" s="1419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5"/>
      <c r="BU8" s="295"/>
      <c r="BV8" s="295"/>
      <c r="BW8" s="295"/>
      <c r="BX8" s="295"/>
      <c r="BY8" s="295"/>
      <c r="BZ8" s="295"/>
      <c r="CA8" s="295"/>
      <c r="CB8" s="295"/>
      <c r="CC8" s="295"/>
      <c r="CD8" s="295"/>
      <c r="CE8" s="295"/>
      <c r="CF8" s="295"/>
      <c r="CG8" s="295"/>
      <c r="CH8" s="295"/>
      <c r="CI8" s="295"/>
      <c r="CJ8" s="295"/>
      <c r="CK8" s="295"/>
      <c r="CL8" s="295"/>
      <c r="CM8" s="295"/>
      <c r="CN8" s="295"/>
      <c r="CO8" s="295"/>
      <c r="CP8" s="295"/>
      <c r="CQ8" s="295"/>
      <c r="CR8" s="295"/>
      <c r="CS8" s="295"/>
      <c r="CT8" s="295"/>
      <c r="CU8" s="295"/>
      <c r="CV8" s="295"/>
      <c r="CW8" s="295"/>
      <c r="CX8" s="295"/>
      <c r="CY8" s="295"/>
      <c r="CZ8" s="295"/>
      <c r="DA8" s="295"/>
      <c r="DB8" s="295"/>
      <c r="DC8" s="295"/>
      <c r="DD8" s="295"/>
      <c r="DE8" s="295"/>
      <c r="DF8" s="295"/>
      <c r="DG8" s="295"/>
      <c r="DH8" s="295"/>
      <c r="DI8" s="295"/>
      <c r="DJ8" s="295"/>
      <c r="DK8" s="295"/>
      <c r="DL8" s="295"/>
      <c r="DM8" s="295"/>
      <c r="DN8" s="295"/>
      <c r="DO8" s="295"/>
      <c r="DP8" s="295"/>
      <c r="DQ8" s="295"/>
      <c r="DR8" s="295"/>
      <c r="DS8" s="295"/>
      <c r="DT8" s="295"/>
      <c r="DU8" s="295"/>
      <c r="DV8" s="295"/>
      <c r="DW8" s="295"/>
      <c r="DX8" s="295"/>
      <c r="DY8" s="295"/>
      <c r="DZ8" s="295"/>
      <c r="EA8" s="295"/>
      <c r="EB8" s="295"/>
      <c r="EC8" s="295"/>
      <c r="ED8" s="295"/>
      <c r="EE8" s="295"/>
      <c r="EF8" s="295"/>
      <c r="EG8" s="295"/>
      <c r="EH8" s="295"/>
      <c r="EI8" s="295"/>
      <c r="EJ8" s="295"/>
      <c r="EK8" s="295"/>
      <c r="EL8" s="295"/>
      <c r="EM8" s="295"/>
      <c r="EN8" s="295"/>
      <c r="EO8" s="295"/>
      <c r="EP8" s="295"/>
      <c r="EQ8" s="295"/>
      <c r="ER8" s="295"/>
      <c r="ES8" s="295"/>
      <c r="ET8" s="295"/>
      <c r="EU8" s="295"/>
      <c r="EV8" s="295"/>
      <c r="EW8" s="295"/>
      <c r="EX8" s="295"/>
      <c r="EY8" s="295"/>
      <c r="EZ8" s="295"/>
      <c r="FA8" s="295"/>
      <c r="FB8" s="295"/>
      <c r="FC8" s="295"/>
      <c r="FD8" s="295"/>
      <c r="FE8" s="295"/>
      <c r="FF8" s="295"/>
      <c r="FG8" s="295"/>
      <c r="FH8" s="295"/>
      <c r="FI8" s="295"/>
      <c r="FJ8" s="295"/>
      <c r="FK8" s="295"/>
      <c r="FL8" s="295"/>
      <c r="FM8" s="295"/>
      <c r="FN8" s="295"/>
      <c r="FO8" s="295"/>
      <c r="FP8" s="295"/>
      <c r="FQ8" s="295"/>
      <c r="FR8" s="295"/>
      <c r="FS8" s="295"/>
      <c r="FT8" s="295"/>
      <c r="FU8" s="295"/>
      <c r="FV8" s="295"/>
      <c r="FW8" s="295"/>
      <c r="FX8" s="295"/>
      <c r="FY8" s="295"/>
      <c r="FZ8" s="295"/>
      <c r="GA8" s="295"/>
      <c r="GB8" s="295"/>
      <c r="GC8" s="295"/>
      <c r="GD8" s="295"/>
      <c r="GE8" s="295"/>
      <c r="GF8" s="295"/>
      <c r="GG8" s="295"/>
      <c r="GH8" s="295"/>
      <c r="GI8" s="295"/>
      <c r="GJ8" s="295"/>
      <c r="GK8" s="295"/>
    </row>
    <row r="9" spans="1:193" ht="26.4" x14ac:dyDescent="0.25">
      <c r="A9" s="537" t="s">
        <v>577</v>
      </c>
      <c r="B9" s="538" t="s">
        <v>583</v>
      </c>
      <c r="C9" s="825">
        <v>127000</v>
      </c>
      <c r="D9" s="826"/>
      <c r="E9" s="826"/>
      <c r="F9" s="826"/>
      <c r="G9" s="826"/>
      <c r="H9" s="827">
        <f t="shared" ref="H9:H15" si="0">SUM(C9:G9)</f>
        <v>127000</v>
      </c>
      <c r="I9" s="828">
        <v>38044214</v>
      </c>
      <c r="J9" s="829">
        <v>254000</v>
      </c>
      <c r="K9" s="829"/>
      <c r="L9" s="829"/>
      <c r="M9" s="829"/>
      <c r="N9" s="830">
        <f t="shared" ref="N9:N15" si="1">SUM(I9:M9)</f>
        <v>38298214</v>
      </c>
    </row>
    <row r="10" spans="1:193" ht="13.2" x14ac:dyDescent="0.25">
      <c r="A10" s="539" t="s">
        <v>578</v>
      </c>
      <c r="B10" s="540" t="s">
        <v>584</v>
      </c>
      <c r="C10" s="831"/>
      <c r="D10" s="832"/>
      <c r="E10" s="832"/>
      <c r="F10" s="832"/>
      <c r="G10" s="832"/>
      <c r="H10" s="830">
        <f t="shared" si="0"/>
        <v>0</v>
      </c>
      <c r="I10" s="833">
        <v>500000</v>
      </c>
      <c r="J10" s="832"/>
      <c r="K10" s="832"/>
      <c r="L10" s="832"/>
      <c r="M10" s="832"/>
      <c r="N10" s="830">
        <f t="shared" si="1"/>
        <v>500000</v>
      </c>
    </row>
    <row r="11" spans="1:193" ht="26.4" x14ac:dyDescent="0.25">
      <c r="A11" s="539" t="s">
        <v>579</v>
      </c>
      <c r="B11" s="540" t="s">
        <v>585</v>
      </c>
      <c r="C11" s="831">
        <v>65590159</v>
      </c>
      <c r="D11" s="832">
        <v>112693342</v>
      </c>
      <c r="E11" s="832"/>
      <c r="F11" s="832"/>
      <c r="G11" s="832"/>
      <c r="H11" s="834">
        <f t="shared" si="0"/>
        <v>178283501</v>
      </c>
      <c r="I11" s="833">
        <v>64318800</v>
      </c>
      <c r="J11" s="832">
        <v>387551024</v>
      </c>
      <c r="K11" s="832"/>
      <c r="L11" s="832"/>
      <c r="M11" s="832"/>
      <c r="N11" s="830">
        <f t="shared" si="1"/>
        <v>451869824</v>
      </c>
    </row>
    <row r="12" spans="1:193" ht="13.2" x14ac:dyDescent="0.25">
      <c r="A12" s="539" t="s">
        <v>580</v>
      </c>
      <c r="B12" s="540" t="s">
        <v>379</v>
      </c>
      <c r="C12" s="831">
        <v>3000000</v>
      </c>
      <c r="D12" s="832"/>
      <c r="E12" s="832"/>
      <c r="F12" s="832"/>
      <c r="G12" s="832"/>
      <c r="H12" s="834">
        <f t="shared" si="0"/>
        <v>3000000</v>
      </c>
      <c r="I12" s="833">
        <v>14721290</v>
      </c>
      <c r="J12" s="832"/>
      <c r="K12" s="832"/>
      <c r="L12" s="832"/>
      <c r="M12" s="832"/>
      <c r="N12" s="830">
        <f t="shared" si="1"/>
        <v>14721290</v>
      </c>
    </row>
    <row r="13" spans="1:193" ht="26.4" x14ac:dyDescent="0.25">
      <c r="A13" s="539" t="s">
        <v>581</v>
      </c>
      <c r="B13" s="540" t="s">
        <v>586</v>
      </c>
      <c r="C13" s="974">
        <f>2651619762+3058230+22197060</f>
        <v>2676875052</v>
      </c>
      <c r="D13" s="832"/>
      <c r="E13" s="832"/>
      <c r="F13" s="835"/>
      <c r="G13" s="835"/>
      <c r="H13" s="834">
        <f t="shared" si="0"/>
        <v>2676875052</v>
      </c>
      <c r="I13" s="1267">
        <f>68733205+2275535+8730222</f>
        <v>79738962</v>
      </c>
      <c r="J13" s="832"/>
      <c r="K13" s="835"/>
      <c r="L13" s="835"/>
      <c r="M13" s="835"/>
      <c r="N13" s="830">
        <f t="shared" si="1"/>
        <v>79738962</v>
      </c>
    </row>
    <row r="14" spans="1:193" ht="13.2" x14ac:dyDescent="0.25">
      <c r="A14" s="539" t="s">
        <v>811</v>
      </c>
      <c r="B14" s="540" t="s">
        <v>812</v>
      </c>
      <c r="C14" s="831"/>
      <c r="D14" s="836"/>
      <c r="E14" s="832"/>
      <c r="F14" s="832"/>
      <c r="G14" s="832"/>
      <c r="H14" s="834">
        <f>SUM(C14:G14)</f>
        <v>0</v>
      </c>
      <c r="I14" s="837">
        <v>41408678</v>
      </c>
      <c r="J14" s="838"/>
      <c r="K14" s="838"/>
      <c r="L14" s="838"/>
      <c r="M14" s="838"/>
      <c r="N14" s="830">
        <f>SUM(I14:M14)</f>
        <v>41408678</v>
      </c>
    </row>
    <row r="15" spans="1:193" ht="13.8" thickBot="1" x14ac:dyDescent="0.3">
      <c r="A15" s="792" t="s">
        <v>582</v>
      </c>
      <c r="B15" s="793" t="s">
        <v>378</v>
      </c>
      <c r="C15" s="839"/>
      <c r="D15" s="840"/>
      <c r="E15" s="840"/>
      <c r="F15" s="840"/>
      <c r="G15" s="1274">
        <f>1453279019-8803343</f>
        <v>1444475676</v>
      </c>
      <c r="H15" s="841">
        <f t="shared" si="0"/>
        <v>1444475676</v>
      </c>
      <c r="I15" s="837">
        <v>600000</v>
      </c>
      <c r="J15" s="838"/>
      <c r="K15" s="842">
        <f>'34.sz.m. int.összesítő'!C16</f>
        <v>2684796216</v>
      </c>
      <c r="L15" s="838"/>
      <c r="M15" s="838"/>
      <c r="N15" s="830">
        <f t="shared" si="1"/>
        <v>2685396216</v>
      </c>
    </row>
    <row r="16" spans="1:193" ht="14.4" thickBot="1" x14ac:dyDescent="0.35">
      <c r="A16" s="1420" t="s">
        <v>621</v>
      </c>
      <c r="B16" s="1421" t="s">
        <v>621</v>
      </c>
      <c r="C16" s="1417" t="s">
        <v>621</v>
      </c>
      <c r="D16" s="1417" t="s">
        <v>621</v>
      </c>
      <c r="E16" s="1417" t="s">
        <v>621</v>
      </c>
      <c r="F16" s="1417" t="s">
        <v>621</v>
      </c>
      <c r="G16" s="1417" t="s">
        <v>621</v>
      </c>
      <c r="H16" s="1417" t="s">
        <v>621</v>
      </c>
      <c r="I16" s="1417" t="s">
        <v>621</v>
      </c>
      <c r="J16" s="1417" t="s">
        <v>621</v>
      </c>
      <c r="K16" s="1417" t="s">
        <v>621</v>
      </c>
      <c r="L16" s="1417" t="s">
        <v>621</v>
      </c>
      <c r="M16" s="1417" t="s">
        <v>621</v>
      </c>
      <c r="N16" s="1422" t="s">
        <v>621</v>
      </c>
    </row>
    <row r="17" spans="1:14" ht="13.2" x14ac:dyDescent="0.25">
      <c r="A17" s="531" t="s">
        <v>622</v>
      </c>
      <c r="B17" s="532" t="s">
        <v>623</v>
      </c>
      <c r="C17" s="825"/>
      <c r="D17" s="826"/>
      <c r="E17" s="826"/>
      <c r="F17" s="826"/>
      <c r="G17" s="826"/>
      <c r="H17" s="827">
        <f t="shared" ref="H17:H24" si="2">SUM(C17:G17)</f>
        <v>0</v>
      </c>
      <c r="I17" s="843">
        <v>37000000</v>
      </c>
      <c r="J17" s="826">
        <f>5000000-3937008-1062992</f>
        <v>0</v>
      </c>
      <c r="K17" s="826"/>
      <c r="L17" s="826"/>
      <c r="M17" s="826"/>
      <c r="N17" s="827">
        <f t="shared" ref="N17:N24" si="3">SUM(I17:M17)</f>
        <v>37000000</v>
      </c>
    </row>
    <row r="18" spans="1:14" ht="26.4" x14ac:dyDescent="0.25">
      <c r="A18" s="533" t="s">
        <v>624</v>
      </c>
      <c r="B18" s="534" t="s">
        <v>625</v>
      </c>
      <c r="C18" s="831">
        <v>2045000</v>
      </c>
      <c r="D18" s="832"/>
      <c r="E18" s="832"/>
      <c r="F18" s="832"/>
      <c r="G18" s="832"/>
      <c r="H18" s="834">
        <f t="shared" si="2"/>
        <v>2045000</v>
      </c>
      <c r="I18" s="833">
        <v>50000</v>
      </c>
      <c r="J18" s="832"/>
      <c r="K18" s="832"/>
      <c r="L18" s="832"/>
      <c r="M18" s="832"/>
      <c r="N18" s="834">
        <f t="shared" si="3"/>
        <v>50000</v>
      </c>
    </row>
    <row r="19" spans="1:14" ht="13.2" x14ac:dyDescent="0.25">
      <c r="A19" s="533" t="s">
        <v>840</v>
      </c>
      <c r="B19" s="534" t="s">
        <v>841</v>
      </c>
      <c r="C19" s="831"/>
      <c r="D19" s="832"/>
      <c r="E19" s="832"/>
      <c r="F19" s="832"/>
      <c r="G19" s="832"/>
      <c r="H19" s="834">
        <f t="shared" si="2"/>
        <v>0</v>
      </c>
      <c r="I19" s="833">
        <f>685600</f>
        <v>685600</v>
      </c>
      <c r="J19" s="846">
        <f>254000+235839</f>
        <v>489839</v>
      </c>
      <c r="K19" s="832"/>
      <c r="L19" s="832"/>
      <c r="M19" s="832"/>
      <c r="N19" s="834">
        <f>SUM(I19:M19)</f>
        <v>1175439</v>
      </c>
    </row>
    <row r="20" spans="1:14" ht="13.2" x14ac:dyDescent="0.25">
      <c r="A20" s="533" t="s">
        <v>991</v>
      </c>
      <c r="B20" s="534" t="s">
        <v>992</v>
      </c>
      <c r="C20" s="831"/>
      <c r="D20" s="832"/>
      <c r="E20" s="832"/>
      <c r="F20" s="832"/>
      <c r="G20" s="832"/>
      <c r="H20" s="834">
        <f t="shared" ref="H20" si="4">SUM(C20:G20)</f>
        <v>0</v>
      </c>
      <c r="I20" s="833">
        <f>5250000</f>
        <v>5250000</v>
      </c>
      <c r="J20" s="832">
        <v>185958968</v>
      </c>
      <c r="K20" s="832"/>
      <c r="L20" s="832"/>
      <c r="M20" s="832"/>
      <c r="N20" s="834">
        <f t="shared" ref="N20" si="5">SUM(I20:M20)</f>
        <v>191208968</v>
      </c>
    </row>
    <row r="21" spans="1:14" ht="13.2" x14ac:dyDescent="0.25">
      <c r="A21" s="533" t="s">
        <v>626</v>
      </c>
      <c r="B21" s="534" t="s">
        <v>627</v>
      </c>
      <c r="C21" s="831"/>
      <c r="D21" s="832"/>
      <c r="E21" s="832"/>
      <c r="F21" s="832"/>
      <c r="G21" s="832"/>
      <c r="H21" s="834">
        <f t="shared" si="2"/>
        <v>0</v>
      </c>
      <c r="I21" s="833">
        <v>52000</v>
      </c>
      <c r="J21" s="832">
        <v>1905000</v>
      </c>
      <c r="K21" s="832"/>
      <c r="L21" s="832"/>
      <c r="M21" s="832"/>
      <c r="N21" s="834">
        <f t="shared" si="3"/>
        <v>1957000</v>
      </c>
    </row>
    <row r="22" spans="1:14" ht="13.2" x14ac:dyDescent="0.25">
      <c r="A22" s="533" t="s">
        <v>628</v>
      </c>
      <c r="B22" s="534" t="s">
        <v>629</v>
      </c>
      <c r="C22" s="831">
        <v>1086794</v>
      </c>
      <c r="D22" s="832">
        <v>28877684</v>
      </c>
      <c r="E22" s="832"/>
      <c r="F22" s="832"/>
      <c r="G22" s="832"/>
      <c r="H22" s="834">
        <f t="shared" si="2"/>
        <v>29964478</v>
      </c>
      <c r="I22" s="833">
        <v>7743840</v>
      </c>
      <c r="J22" s="846">
        <f>7223344+9</f>
        <v>7223353</v>
      </c>
      <c r="K22" s="832"/>
      <c r="L22" s="832"/>
      <c r="M22" s="832"/>
      <c r="N22" s="834">
        <f t="shared" si="3"/>
        <v>14967193</v>
      </c>
    </row>
    <row r="23" spans="1:14" ht="26.4" x14ac:dyDescent="0.25">
      <c r="A23" s="533" t="s">
        <v>701</v>
      </c>
      <c r="B23" s="534" t="s">
        <v>702</v>
      </c>
      <c r="C23" s="844"/>
      <c r="D23" s="832"/>
      <c r="E23" s="845"/>
      <c r="F23" s="845"/>
      <c r="G23" s="846"/>
      <c r="H23" s="834">
        <f>SUM(C23:G23)</f>
        <v>0</v>
      </c>
      <c r="I23" s="833">
        <v>429260</v>
      </c>
      <c r="J23" s="832"/>
      <c r="K23" s="846"/>
      <c r="L23" s="846"/>
      <c r="M23" s="846"/>
      <c r="N23" s="834">
        <f t="shared" si="3"/>
        <v>429260</v>
      </c>
    </row>
    <row r="24" spans="1:14" ht="13.2" x14ac:dyDescent="0.25">
      <c r="A24" s="533" t="s">
        <v>630</v>
      </c>
      <c r="B24" s="534" t="s">
        <v>631</v>
      </c>
      <c r="C24" s="831">
        <v>834000</v>
      </c>
      <c r="D24" s="832"/>
      <c r="E24" s="832"/>
      <c r="F24" s="832"/>
      <c r="G24" s="832"/>
      <c r="H24" s="834">
        <f t="shared" si="2"/>
        <v>834000</v>
      </c>
      <c r="I24" s="833">
        <v>1133900</v>
      </c>
      <c r="J24" s="832">
        <v>857500</v>
      </c>
      <c r="K24" s="832"/>
      <c r="L24" s="832"/>
      <c r="M24" s="832"/>
      <c r="N24" s="834">
        <f t="shared" si="3"/>
        <v>1991400</v>
      </c>
    </row>
    <row r="25" spans="1:14" ht="13.2" x14ac:dyDescent="0.25">
      <c r="A25" s="533" t="s">
        <v>632</v>
      </c>
      <c r="B25" s="534" t="s">
        <v>633</v>
      </c>
      <c r="C25" s="844"/>
      <c r="D25" s="832"/>
      <c r="E25" s="845"/>
      <c r="F25" s="845"/>
      <c r="G25" s="846"/>
      <c r="H25" s="834">
        <f>SUM(C25:G25)</f>
        <v>0</v>
      </c>
      <c r="I25" s="833">
        <v>964000</v>
      </c>
      <c r="J25" s="846">
        <v>8</v>
      </c>
      <c r="K25" s="846"/>
      <c r="L25" s="846"/>
      <c r="M25" s="846"/>
      <c r="N25" s="834">
        <f>SUM(I25:M25)</f>
        <v>964008</v>
      </c>
    </row>
    <row r="26" spans="1:14" ht="27" thickBot="1" x14ac:dyDescent="0.3">
      <c r="A26" s="535" t="s">
        <v>884</v>
      </c>
      <c r="B26" s="536" t="s">
        <v>885</v>
      </c>
      <c r="C26" s="847"/>
      <c r="D26" s="848"/>
      <c r="E26" s="848"/>
      <c r="F26" s="848"/>
      <c r="G26" s="848"/>
      <c r="H26" s="849">
        <f>SUM(C26:G26)</f>
        <v>0</v>
      </c>
      <c r="I26" s="850">
        <v>14913467</v>
      </c>
      <c r="J26" s="848">
        <v>314284172</v>
      </c>
      <c r="K26" s="848"/>
      <c r="L26" s="848"/>
      <c r="M26" s="848"/>
      <c r="N26" s="849">
        <f>SUM(I26:M26)</f>
        <v>329197639</v>
      </c>
    </row>
    <row r="27" spans="1:14" ht="14.4" thickBot="1" x14ac:dyDescent="0.35">
      <c r="A27" s="1420" t="s">
        <v>587</v>
      </c>
      <c r="B27" s="1421"/>
      <c r="C27" s="1421"/>
      <c r="D27" s="1421"/>
      <c r="E27" s="1421"/>
      <c r="F27" s="1421"/>
      <c r="G27" s="1421"/>
      <c r="H27" s="1421"/>
      <c r="I27" s="1421"/>
      <c r="J27" s="1421"/>
      <c r="K27" s="1421"/>
      <c r="L27" s="1421"/>
      <c r="M27" s="1421"/>
      <c r="N27" s="1423"/>
    </row>
    <row r="28" spans="1:14" ht="26.4" x14ac:dyDescent="0.25">
      <c r="A28" s="615" t="s">
        <v>588</v>
      </c>
      <c r="B28" s="616" t="s">
        <v>589</v>
      </c>
      <c r="C28" s="826">
        <v>6000000</v>
      </c>
      <c r="D28" s="851"/>
      <c r="E28" s="851"/>
      <c r="F28" s="851"/>
      <c r="G28" s="851"/>
      <c r="H28" s="827">
        <f>SUM(C28:G28)</f>
        <v>6000000</v>
      </c>
      <c r="I28" s="843">
        <v>11106503</v>
      </c>
      <c r="J28" s="851"/>
      <c r="K28" s="851"/>
      <c r="L28" s="851"/>
      <c r="M28" s="851"/>
      <c r="N28" s="827">
        <f>SUM(I28:M28)</f>
        <v>11106503</v>
      </c>
    </row>
    <row r="29" spans="1:14" ht="13.2" x14ac:dyDescent="0.25">
      <c r="A29" s="617" t="s">
        <v>590</v>
      </c>
      <c r="B29" s="614" t="s">
        <v>381</v>
      </c>
      <c r="C29" s="832"/>
      <c r="D29" s="832"/>
      <c r="E29" s="832"/>
      <c r="F29" s="832"/>
      <c r="G29" s="832"/>
      <c r="H29" s="834">
        <f>SUM(C29:G29)</f>
        <v>0</v>
      </c>
      <c r="I29" s="833">
        <v>1292225</v>
      </c>
      <c r="J29" s="835"/>
      <c r="K29" s="835"/>
      <c r="L29" s="835"/>
      <c r="M29" s="835"/>
      <c r="N29" s="834">
        <f>SUM(I29:M29)</f>
        <v>1292225</v>
      </c>
    </row>
    <row r="30" spans="1:14" ht="13.2" x14ac:dyDescent="0.25">
      <c r="A30" s="617" t="s">
        <v>936</v>
      </c>
      <c r="B30" s="614" t="s">
        <v>937</v>
      </c>
      <c r="C30" s="832"/>
      <c r="D30" s="835"/>
      <c r="E30" s="846"/>
      <c r="F30" s="835"/>
      <c r="G30" s="835"/>
      <c r="H30" s="834">
        <f>SUM(C30:G30)</f>
        <v>0</v>
      </c>
      <c r="I30" s="1009">
        <v>381000</v>
      </c>
      <c r="J30" s="832"/>
      <c r="K30" s="835"/>
      <c r="L30" s="835"/>
      <c r="M30" s="835"/>
      <c r="N30" s="834">
        <f>SUM(I30:M30)</f>
        <v>381000</v>
      </c>
    </row>
    <row r="31" spans="1:14" ht="13.2" x14ac:dyDescent="0.25">
      <c r="A31" s="617" t="s">
        <v>591</v>
      </c>
      <c r="B31" s="614" t="s">
        <v>592</v>
      </c>
      <c r="C31" s="832">
        <v>50000</v>
      </c>
      <c r="D31" s="835"/>
      <c r="E31" s="846"/>
      <c r="F31" s="835"/>
      <c r="G31" s="835"/>
      <c r="H31" s="834">
        <f>SUM(C31:G31)</f>
        <v>50000</v>
      </c>
      <c r="I31" s="1009"/>
      <c r="J31" s="832"/>
      <c r="K31" s="835"/>
      <c r="L31" s="835"/>
      <c r="M31" s="835"/>
      <c r="N31" s="834">
        <f>SUM(I31:M31)</f>
        <v>0</v>
      </c>
    </row>
    <row r="32" spans="1:14" ht="13.8" thickBot="1" x14ac:dyDescent="0.3">
      <c r="A32" s="618" t="s">
        <v>994</v>
      </c>
      <c r="B32" s="1102" t="s">
        <v>995</v>
      </c>
      <c r="C32" s="1086"/>
      <c r="D32" s="1087"/>
      <c r="E32" s="1088"/>
      <c r="F32" s="1087"/>
      <c r="G32" s="1087"/>
      <c r="H32" s="849">
        <f>SUM(C32:G32)</f>
        <v>0</v>
      </c>
      <c r="I32" s="1099"/>
      <c r="J32" s="1086"/>
      <c r="K32" s="1087"/>
      <c r="L32" s="1087"/>
      <c r="M32" s="1087"/>
      <c r="N32" s="849">
        <f>SUM(I32:M32)</f>
        <v>0</v>
      </c>
    </row>
    <row r="33" spans="1:14" ht="14.4" thickBot="1" x14ac:dyDescent="0.35">
      <c r="A33" s="1424" t="s">
        <v>598</v>
      </c>
      <c r="B33" s="1425"/>
      <c r="C33" s="1426"/>
      <c r="D33" s="1426"/>
      <c r="E33" s="1426"/>
      <c r="F33" s="1426"/>
      <c r="G33" s="1426"/>
      <c r="H33" s="1426"/>
      <c r="I33" s="1426"/>
      <c r="J33" s="1426"/>
      <c r="K33" s="1426"/>
      <c r="L33" s="1426"/>
      <c r="M33" s="1426"/>
      <c r="N33" s="1427"/>
    </row>
    <row r="34" spans="1:14" ht="13.2" x14ac:dyDescent="0.25">
      <c r="A34" s="615" t="s">
        <v>687</v>
      </c>
      <c r="B34" s="619" t="s">
        <v>688</v>
      </c>
      <c r="C34" s="843">
        <f>16192000+37499</f>
        <v>16229499</v>
      </c>
      <c r="D34" s="826">
        <f>9077263</f>
        <v>9077263</v>
      </c>
      <c r="E34" s="825"/>
      <c r="F34" s="826"/>
      <c r="G34" s="826"/>
      <c r="H34" s="827">
        <f>SUM(C34:G34)</f>
        <v>25306762</v>
      </c>
      <c r="I34" s="1272">
        <f>38766957+49999+160020+30000+80000</f>
        <v>39086976</v>
      </c>
      <c r="J34" s="855">
        <f>409018042+12122993+1134036</f>
        <v>422275071</v>
      </c>
      <c r="K34" s="826"/>
      <c r="L34" s="826"/>
      <c r="M34" s="826"/>
      <c r="N34" s="827">
        <f>SUM(I34:M34)</f>
        <v>461362047</v>
      </c>
    </row>
    <row r="35" spans="1:14" ht="13.2" x14ac:dyDescent="0.25">
      <c r="A35" s="617" t="s">
        <v>593</v>
      </c>
      <c r="B35" s="620" t="s">
        <v>374</v>
      </c>
      <c r="C35" s="1273">
        <v>4926197</v>
      </c>
      <c r="D35" s="829"/>
      <c r="E35" s="852"/>
      <c r="F35" s="829"/>
      <c r="G35" s="829"/>
      <c r="H35" s="830">
        <f>SUM(C35:G35)</f>
        <v>4926197</v>
      </c>
      <c r="I35" s="828">
        <v>43121585</v>
      </c>
      <c r="J35" s="829">
        <v>127000</v>
      </c>
      <c r="K35" s="829"/>
      <c r="L35" s="829"/>
      <c r="M35" s="829"/>
      <c r="N35" s="830">
        <f>SUM(I35:M35)</f>
        <v>43248585</v>
      </c>
    </row>
    <row r="36" spans="1:14" ht="13.2" x14ac:dyDescent="0.25">
      <c r="A36" s="617" t="s">
        <v>594</v>
      </c>
      <c r="B36" s="620" t="s">
        <v>595</v>
      </c>
      <c r="C36" s="853"/>
      <c r="D36" s="832"/>
      <c r="E36" s="832"/>
      <c r="F36" s="832"/>
      <c r="G36" s="832"/>
      <c r="H36" s="834">
        <f>SUM(C36:G36)</f>
        <v>0</v>
      </c>
      <c r="I36" s="833">
        <v>23635000</v>
      </c>
      <c r="J36" s="832">
        <v>0</v>
      </c>
      <c r="K36" s="832"/>
      <c r="L36" s="832"/>
      <c r="M36" s="832"/>
      <c r="N36" s="830">
        <f>SUM(I36:M36)</f>
        <v>23635000</v>
      </c>
    </row>
    <row r="37" spans="1:14" ht="13.8" thickBot="1" x14ac:dyDescent="0.3">
      <c r="A37" s="618" t="s">
        <v>596</v>
      </c>
      <c r="B37" s="621" t="s">
        <v>597</v>
      </c>
      <c r="C37" s="850">
        <f>22525000-15000000</f>
        <v>7525000</v>
      </c>
      <c r="D37" s="848"/>
      <c r="E37" s="848">
        <v>15000000</v>
      </c>
      <c r="F37" s="848"/>
      <c r="G37" s="848"/>
      <c r="H37" s="849">
        <f>SUM(C37:G37)</f>
        <v>22525000</v>
      </c>
      <c r="I37" s="850">
        <v>70103924</v>
      </c>
      <c r="J37" s="848">
        <v>12050000</v>
      </c>
      <c r="K37" s="848"/>
      <c r="L37" s="848"/>
      <c r="M37" s="848"/>
      <c r="N37" s="841">
        <f>SUM(I37:M37)</f>
        <v>82153924</v>
      </c>
    </row>
    <row r="38" spans="1:14" ht="15" thickBot="1" x14ac:dyDescent="0.35">
      <c r="A38" s="1428" t="s">
        <v>599</v>
      </c>
      <c r="B38" s="1429"/>
      <c r="C38" s="1429"/>
      <c r="D38" s="1429"/>
      <c r="E38" s="1429"/>
      <c r="F38" s="1429"/>
      <c r="G38" s="1429"/>
      <c r="H38" s="1429"/>
      <c r="I38" s="1429"/>
      <c r="J38" s="1429"/>
      <c r="K38" s="1429"/>
      <c r="L38" s="1429"/>
      <c r="M38" s="1429"/>
      <c r="N38" s="1430"/>
    </row>
    <row r="39" spans="1:14" ht="13.2" x14ac:dyDescent="0.25">
      <c r="A39" s="541" t="s">
        <v>715</v>
      </c>
      <c r="B39" s="538" t="s">
        <v>716</v>
      </c>
      <c r="C39" s="825">
        <v>53804783</v>
      </c>
      <c r="D39" s="854"/>
      <c r="E39" s="854"/>
      <c r="F39" s="854"/>
      <c r="G39" s="854"/>
      <c r="H39" s="827">
        <f t="shared" ref="H39:H48" si="6">SUM(C39:G39)</f>
        <v>53804783</v>
      </c>
      <c r="I39" s="1266">
        <f>58733023+152253</f>
        <v>58885276</v>
      </c>
      <c r="J39" s="855">
        <f>1500001+1010</f>
        <v>1501011</v>
      </c>
      <c r="K39" s="855"/>
      <c r="L39" s="855"/>
      <c r="M39" s="855"/>
      <c r="N39" s="827">
        <f t="shared" ref="N39:N48" si="7">SUM(I39:M39)</f>
        <v>60386287</v>
      </c>
    </row>
    <row r="40" spans="1:14" ht="13.2" x14ac:dyDescent="0.25">
      <c r="A40" s="702" t="s">
        <v>703</v>
      </c>
      <c r="B40" s="703" t="s">
        <v>704</v>
      </c>
      <c r="C40" s="852"/>
      <c r="D40" s="856"/>
      <c r="E40" s="856"/>
      <c r="F40" s="856"/>
      <c r="G40" s="856"/>
      <c r="H40" s="830">
        <f t="shared" si="6"/>
        <v>0</v>
      </c>
      <c r="I40" s="857"/>
      <c r="J40" s="829"/>
      <c r="K40" s="858"/>
      <c r="L40" s="858"/>
      <c r="M40" s="858"/>
      <c r="N40" s="830">
        <f t="shared" si="7"/>
        <v>0</v>
      </c>
    </row>
    <row r="41" spans="1:14" ht="13.2" x14ac:dyDescent="0.25">
      <c r="A41" s="626" t="s">
        <v>600</v>
      </c>
      <c r="B41" s="540" t="s">
        <v>1</v>
      </c>
      <c r="C41" s="831"/>
      <c r="D41" s="831"/>
      <c r="E41" s="831"/>
      <c r="F41" s="831"/>
      <c r="G41" s="831"/>
      <c r="H41" s="834">
        <f t="shared" si="6"/>
        <v>0</v>
      </c>
      <c r="I41" s="859">
        <v>27477800</v>
      </c>
      <c r="J41" s="846"/>
      <c r="K41" s="832"/>
      <c r="L41" s="832"/>
      <c r="M41" s="832"/>
      <c r="N41" s="830">
        <f t="shared" si="7"/>
        <v>27477800</v>
      </c>
    </row>
    <row r="42" spans="1:14" ht="13.2" x14ac:dyDescent="0.25">
      <c r="A42" s="626" t="s">
        <v>1062</v>
      </c>
      <c r="B42" s="540" t="s">
        <v>1063</v>
      </c>
      <c r="C42" s="831"/>
      <c r="D42" s="831"/>
      <c r="E42" s="831"/>
      <c r="F42" s="831"/>
      <c r="G42" s="831"/>
      <c r="H42" s="834">
        <f t="shared" si="6"/>
        <v>0</v>
      </c>
      <c r="I42" s="1271">
        <f>754000+518160</f>
        <v>1272160</v>
      </c>
      <c r="J42" s="846"/>
      <c r="K42" s="832"/>
      <c r="L42" s="832"/>
      <c r="M42" s="832"/>
      <c r="N42" s="830">
        <f t="shared" si="7"/>
        <v>1272160</v>
      </c>
    </row>
    <row r="43" spans="1:14" ht="13.2" x14ac:dyDescent="0.25">
      <c r="A43" s="626" t="s">
        <v>928</v>
      </c>
      <c r="B43" s="540" t="s">
        <v>929</v>
      </c>
      <c r="C43" s="974"/>
      <c r="D43" s="974"/>
      <c r="E43" s="974"/>
      <c r="F43" s="974"/>
      <c r="G43" s="974"/>
      <c r="H43" s="834">
        <f t="shared" si="6"/>
        <v>0</v>
      </c>
      <c r="I43" s="859">
        <v>890100</v>
      </c>
      <c r="J43" s="846"/>
      <c r="K43" s="846"/>
      <c r="L43" s="846"/>
      <c r="M43" s="846"/>
      <c r="N43" s="830">
        <f t="shared" si="7"/>
        <v>890100</v>
      </c>
    </row>
    <row r="44" spans="1:14" ht="13.2" x14ac:dyDescent="0.25">
      <c r="A44" s="626" t="s">
        <v>601</v>
      </c>
      <c r="B44" s="540" t="s">
        <v>3</v>
      </c>
      <c r="C44" s="831"/>
      <c r="D44" s="832"/>
      <c r="E44" s="832"/>
      <c r="F44" s="832"/>
      <c r="G44" s="832"/>
      <c r="H44" s="834">
        <f t="shared" si="6"/>
        <v>0</v>
      </c>
      <c r="I44" s="833">
        <v>4200000</v>
      </c>
      <c r="J44" s="832"/>
      <c r="K44" s="832"/>
      <c r="L44" s="832"/>
      <c r="M44" s="832"/>
      <c r="N44" s="830">
        <f t="shared" si="7"/>
        <v>4200000</v>
      </c>
    </row>
    <row r="45" spans="1:14" ht="13.2" x14ac:dyDescent="0.25">
      <c r="A45" s="1106" t="s">
        <v>1001</v>
      </c>
      <c r="B45" s="1105" t="s">
        <v>1002</v>
      </c>
      <c r="C45" s="831">
        <v>1000000</v>
      </c>
      <c r="D45" s="846"/>
      <c r="E45" s="846"/>
      <c r="F45" s="846"/>
      <c r="G45" s="846"/>
      <c r="H45" s="834">
        <f t="shared" ref="H45" si="8">SUM(C45:G45)</f>
        <v>1000000</v>
      </c>
      <c r="I45" s="833">
        <v>1000000</v>
      </c>
      <c r="J45" s="846"/>
      <c r="K45" s="846"/>
      <c r="L45" s="846"/>
      <c r="M45" s="846"/>
      <c r="N45" s="830">
        <f t="shared" ref="N45" si="9">SUM(I45:M45)</f>
        <v>1000000</v>
      </c>
    </row>
    <row r="46" spans="1:14" ht="13.2" x14ac:dyDescent="0.25">
      <c r="A46" s="626" t="s">
        <v>690</v>
      </c>
      <c r="B46" s="540" t="s">
        <v>689</v>
      </c>
      <c r="C46" s="831"/>
      <c r="D46" s="832"/>
      <c r="E46" s="832"/>
      <c r="F46" s="832"/>
      <c r="G46" s="832"/>
      <c r="H46" s="834">
        <f t="shared" si="6"/>
        <v>0</v>
      </c>
      <c r="I46" s="833">
        <v>7000000</v>
      </c>
      <c r="J46" s="832"/>
      <c r="K46" s="832"/>
      <c r="L46" s="832"/>
      <c r="M46" s="832"/>
      <c r="N46" s="830">
        <f t="shared" si="7"/>
        <v>7000000</v>
      </c>
    </row>
    <row r="47" spans="1:14" ht="13.2" x14ac:dyDescent="0.25">
      <c r="A47" s="626" t="s">
        <v>705</v>
      </c>
      <c r="B47" s="540" t="s">
        <v>706</v>
      </c>
      <c r="C47" s="831"/>
      <c r="D47" s="846"/>
      <c r="E47" s="846"/>
      <c r="F47" s="846"/>
      <c r="G47" s="846"/>
      <c r="H47" s="834">
        <f t="shared" si="6"/>
        <v>0</v>
      </c>
      <c r="I47" s="833">
        <v>8001000</v>
      </c>
      <c r="J47" s="832">
        <v>127000</v>
      </c>
      <c r="K47" s="846"/>
      <c r="L47" s="846"/>
      <c r="M47" s="846"/>
      <c r="N47" s="830">
        <f t="shared" si="7"/>
        <v>8128000</v>
      </c>
    </row>
    <row r="48" spans="1:14" ht="13.8" thickBot="1" x14ac:dyDescent="0.3">
      <c r="A48" s="627" t="s">
        <v>602</v>
      </c>
      <c r="B48" s="625" t="s">
        <v>603</v>
      </c>
      <c r="C48" s="1268">
        <v>300000</v>
      </c>
      <c r="D48" s="848"/>
      <c r="E48" s="848"/>
      <c r="F48" s="848"/>
      <c r="G48" s="848"/>
      <c r="H48" s="849">
        <f t="shared" si="6"/>
        <v>300000</v>
      </c>
      <c r="I48" s="1269">
        <f>300000+300000</f>
        <v>600000</v>
      </c>
      <c r="J48" s="848">
        <v>0</v>
      </c>
      <c r="K48" s="848"/>
      <c r="L48" s="848"/>
      <c r="M48" s="848"/>
      <c r="N48" s="841">
        <f t="shared" si="7"/>
        <v>600000</v>
      </c>
    </row>
    <row r="49" spans="1:14" ht="14.4" thickBot="1" x14ac:dyDescent="0.35">
      <c r="A49" s="1420" t="s">
        <v>604</v>
      </c>
      <c r="B49" s="1421"/>
      <c r="C49" s="1418"/>
      <c r="D49" s="1418"/>
      <c r="E49" s="1418"/>
      <c r="F49" s="1418"/>
      <c r="G49" s="1418"/>
      <c r="H49" s="1418"/>
      <c r="I49" s="1418"/>
      <c r="J49" s="1418"/>
      <c r="K49" s="1418"/>
      <c r="L49" s="1418"/>
      <c r="M49" s="1418"/>
      <c r="N49" s="1419"/>
    </row>
    <row r="50" spans="1:14" ht="26.4" x14ac:dyDescent="0.25">
      <c r="A50" s="800" t="s">
        <v>717</v>
      </c>
      <c r="B50" s="801" t="s">
        <v>718</v>
      </c>
      <c r="C50" s="860"/>
      <c r="D50" s="861"/>
      <c r="E50" s="861"/>
      <c r="F50" s="861"/>
      <c r="G50" s="861"/>
      <c r="H50" s="862">
        <f t="shared" ref="H50:H54" si="10">SUM(C50:G50)</f>
        <v>0</v>
      </c>
      <c r="I50" s="976">
        <v>28020000</v>
      </c>
      <c r="J50" s="861"/>
      <c r="K50" s="861"/>
      <c r="L50" s="861"/>
      <c r="M50" s="861"/>
      <c r="N50" s="862">
        <f t="shared" ref="N50:N54" si="11">SUM(I50:M50)</f>
        <v>28020000</v>
      </c>
    </row>
    <row r="51" spans="1:14" ht="26.4" x14ac:dyDescent="0.25">
      <c r="A51" s="626" t="s">
        <v>822</v>
      </c>
      <c r="B51" s="540" t="s">
        <v>823</v>
      </c>
      <c r="C51" s="831"/>
      <c r="D51" s="832"/>
      <c r="E51" s="832"/>
      <c r="F51" s="832"/>
      <c r="G51" s="832"/>
      <c r="H51" s="834">
        <f t="shared" si="10"/>
        <v>0</v>
      </c>
      <c r="I51" s="833">
        <v>2506000</v>
      </c>
      <c r="J51" s="832"/>
      <c r="K51" s="832"/>
      <c r="L51" s="832"/>
      <c r="M51" s="832"/>
      <c r="N51" s="834">
        <f t="shared" si="11"/>
        <v>2506000</v>
      </c>
    </row>
    <row r="52" spans="1:14" ht="13.2" x14ac:dyDescent="0.25">
      <c r="A52" s="702" t="s">
        <v>605</v>
      </c>
      <c r="B52" s="703" t="s">
        <v>551</v>
      </c>
      <c r="C52" s="863">
        <v>508000</v>
      </c>
      <c r="D52" s="864"/>
      <c r="E52" s="864"/>
      <c r="F52" s="864"/>
      <c r="G52" s="864"/>
      <c r="H52" s="830">
        <f t="shared" si="10"/>
        <v>508000</v>
      </c>
      <c r="I52" s="865">
        <v>9352477</v>
      </c>
      <c r="J52" s="864"/>
      <c r="K52" s="864"/>
      <c r="L52" s="864"/>
      <c r="M52" s="864"/>
      <c r="N52" s="830">
        <f t="shared" si="11"/>
        <v>9352477</v>
      </c>
    </row>
    <row r="53" spans="1:14" s="392" customFormat="1" ht="13.2" x14ac:dyDescent="0.25">
      <c r="A53" s="626" t="s">
        <v>606</v>
      </c>
      <c r="B53" s="540" t="s">
        <v>375</v>
      </c>
      <c r="C53" s="1107"/>
      <c r="D53" s="867"/>
      <c r="E53" s="867"/>
      <c r="F53" s="867"/>
      <c r="G53" s="867"/>
      <c r="H53" s="834">
        <f t="shared" si="10"/>
        <v>0</v>
      </c>
      <c r="I53" s="837">
        <v>32609633</v>
      </c>
      <c r="J53" s="838">
        <v>2301092</v>
      </c>
      <c r="K53" s="838"/>
      <c r="L53" s="838"/>
      <c r="M53" s="838"/>
      <c r="N53" s="830">
        <f t="shared" si="11"/>
        <v>34910725</v>
      </c>
    </row>
    <row r="54" spans="1:14" s="392" customFormat="1" ht="27" thickBot="1" x14ac:dyDescent="0.3">
      <c r="A54" s="627" t="s">
        <v>607</v>
      </c>
      <c r="B54" s="625" t="s">
        <v>608</v>
      </c>
      <c r="C54" s="866"/>
      <c r="D54" s="838"/>
      <c r="E54" s="867"/>
      <c r="F54" s="867"/>
      <c r="G54" s="867"/>
      <c r="H54" s="868">
        <f t="shared" si="10"/>
        <v>0</v>
      </c>
      <c r="I54" s="837">
        <v>960000</v>
      </c>
      <c r="J54" s="838"/>
      <c r="K54" s="838"/>
      <c r="L54" s="838"/>
      <c r="M54" s="838"/>
      <c r="N54" s="830">
        <f t="shared" si="11"/>
        <v>960000</v>
      </c>
    </row>
    <row r="55" spans="1:14" s="392" customFormat="1" ht="14.4" thickBot="1" x14ac:dyDescent="0.35">
      <c r="A55" s="1416" t="s">
        <v>711</v>
      </c>
      <c r="B55" s="1417"/>
      <c r="C55" s="1417"/>
      <c r="D55" s="1417"/>
      <c r="E55" s="1417"/>
      <c r="F55" s="1417"/>
      <c r="G55" s="1417"/>
      <c r="H55" s="1417"/>
      <c r="I55" s="1417"/>
      <c r="J55" s="1417"/>
      <c r="K55" s="1417"/>
      <c r="L55" s="1417"/>
      <c r="M55" s="1417"/>
      <c r="N55" s="1422"/>
    </row>
    <row r="56" spans="1:14" s="392" customFormat="1" ht="13.8" thickBot="1" x14ac:dyDescent="0.3">
      <c r="A56" s="1100" t="s">
        <v>712</v>
      </c>
      <c r="B56" s="1101" t="s">
        <v>713</v>
      </c>
      <c r="C56" s="1110"/>
      <c r="D56" s="1114"/>
      <c r="E56" s="861"/>
      <c r="F56" s="861"/>
      <c r="G56" s="861"/>
      <c r="H56" s="827">
        <f>SUM(C56:G56)</f>
        <v>0</v>
      </c>
      <c r="I56" s="1270">
        <f>13636665+75000</f>
        <v>13711665</v>
      </c>
      <c r="J56" s="861">
        <v>733009</v>
      </c>
      <c r="K56" s="861"/>
      <c r="L56" s="861"/>
      <c r="M56" s="861"/>
      <c r="N56" s="827">
        <f>SUM(I56:M56)</f>
        <v>14444674</v>
      </c>
    </row>
    <row r="57" spans="1:14" ht="14.4" thickBot="1" x14ac:dyDescent="0.35">
      <c r="A57" s="1431" t="s">
        <v>609</v>
      </c>
      <c r="B57" s="1432"/>
      <c r="C57" s="1418"/>
      <c r="D57" s="1418"/>
      <c r="E57" s="1418"/>
      <c r="F57" s="1418"/>
      <c r="G57" s="1418"/>
      <c r="H57" s="1418"/>
      <c r="I57" s="1418"/>
      <c r="J57" s="1418"/>
      <c r="K57" s="1418"/>
      <c r="L57" s="1418"/>
      <c r="M57" s="1418"/>
      <c r="N57" s="1419"/>
    </row>
    <row r="58" spans="1:14" ht="13.2" x14ac:dyDescent="0.25">
      <c r="A58" s="803">
        <v>101211</v>
      </c>
      <c r="B58" s="801" t="s">
        <v>824</v>
      </c>
      <c r="C58" s="860"/>
      <c r="D58" s="861"/>
      <c r="E58" s="861"/>
      <c r="F58" s="861"/>
      <c r="G58" s="861"/>
      <c r="H58" s="862">
        <f t="shared" ref="H58:H63" si="12">SUM(C58:G58)</f>
        <v>0</v>
      </c>
      <c r="I58" s="826">
        <v>4679000</v>
      </c>
      <c r="J58" s="826"/>
      <c r="K58" s="826"/>
      <c r="L58" s="826"/>
      <c r="M58" s="826"/>
      <c r="N58" s="827">
        <f t="shared" ref="N58:N66" si="13">SUM(I58:M58)</f>
        <v>4679000</v>
      </c>
    </row>
    <row r="59" spans="1:14" ht="13.2" x14ac:dyDescent="0.25">
      <c r="A59" s="804">
        <v>102023</v>
      </c>
      <c r="B59" s="540" t="s">
        <v>825</v>
      </c>
      <c r="C59" s="831"/>
      <c r="D59" s="832"/>
      <c r="E59" s="832"/>
      <c r="F59" s="832"/>
      <c r="G59" s="832"/>
      <c r="H59" s="834">
        <f t="shared" si="12"/>
        <v>0</v>
      </c>
      <c r="I59" s="832">
        <v>7527000</v>
      </c>
      <c r="J59" s="832"/>
      <c r="K59" s="832"/>
      <c r="L59" s="832"/>
      <c r="M59" s="832"/>
      <c r="N59" s="834">
        <f t="shared" si="13"/>
        <v>7527000</v>
      </c>
    </row>
    <row r="60" spans="1:14" ht="13.2" x14ac:dyDescent="0.25">
      <c r="A60" s="1108">
        <v>102024</v>
      </c>
      <c r="B60" s="703" t="s">
        <v>826</v>
      </c>
      <c r="C60" s="833"/>
      <c r="D60" s="832"/>
      <c r="E60" s="832"/>
      <c r="F60" s="832"/>
      <c r="G60" s="832"/>
      <c r="H60" s="834">
        <f t="shared" si="12"/>
        <v>0</v>
      </c>
      <c r="I60" s="832">
        <v>1629000</v>
      </c>
      <c r="J60" s="832"/>
      <c r="K60" s="832"/>
      <c r="L60" s="832"/>
      <c r="M60" s="832"/>
      <c r="N60" s="834">
        <f t="shared" si="13"/>
        <v>1629000</v>
      </c>
    </row>
    <row r="61" spans="1:14" ht="13.2" x14ac:dyDescent="0.25">
      <c r="A61" s="804" t="s">
        <v>610</v>
      </c>
      <c r="B61" s="540" t="s">
        <v>486</v>
      </c>
      <c r="C61" s="866"/>
      <c r="D61" s="867"/>
      <c r="E61" s="867"/>
      <c r="F61" s="867"/>
      <c r="G61" s="867"/>
      <c r="H61" s="834">
        <f t="shared" si="12"/>
        <v>0</v>
      </c>
      <c r="I61" s="832">
        <v>300000</v>
      </c>
      <c r="J61" s="832"/>
      <c r="K61" s="832"/>
      <c r="L61" s="832"/>
      <c r="M61" s="832"/>
      <c r="N61" s="834">
        <f t="shared" si="13"/>
        <v>300000</v>
      </c>
    </row>
    <row r="62" spans="1:14" ht="26.4" x14ac:dyDescent="0.25">
      <c r="A62" s="804">
        <v>104031</v>
      </c>
      <c r="B62" s="540" t="s">
        <v>827</v>
      </c>
      <c r="C62" s="831">
        <v>16049767</v>
      </c>
      <c r="D62" s="832">
        <v>58702203</v>
      </c>
      <c r="E62" s="836"/>
      <c r="F62" s="836"/>
      <c r="G62" s="836"/>
      <c r="H62" s="834">
        <f t="shared" si="12"/>
        <v>74751970</v>
      </c>
      <c r="I62" s="832">
        <v>38036687</v>
      </c>
      <c r="J62" s="832">
        <v>129744924</v>
      </c>
      <c r="K62" s="832"/>
      <c r="L62" s="832"/>
      <c r="M62" s="832"/>
      <c r="N62" s="834">
        <f t="shared" si="13"/>
        <v>167781611</v>
      </c>
    </row>
    <row r="63" spans="1:14" ht="13.2" x14ac:dyDescent="0.25">
      <c r="A63" s="1109" t="s">
        <v>611</v>
      </c>
      <c r="B63" s="802" t="s">
        <v>473</v>
      </c>
      <c r="C63" s="863"/>
      <c r="D63" s="864"/>
      <c r="E63" s="864"/>
      <c r="F63" s="864"/>
      <c r="G63" s="864"/>
      <c r="H63" s="834">
        <f t="shared" si="12"/>
        <v>0</v>
      </c>
      <c r="I63" s="865">
        <v>57750053</v>
      </c>
      <c r="J63" s="864"/>
      <c r="K63" s="864"/>
      <c r="L63" s="864"/>
      <c r="M63" s="864"/>
      <c r="N63" s="830">
        <f t="shared" si="13"/>
        <v>57750053</v>
      </c>
    </row>
    <row r="64" spans="1:14" ht="26.4" x14ac:dyDescent="0.25">
      <c r="A64" s="804">
        <v>104060</v>
      </c>
      <c r="B64" s="540" t="s">
        <v>886</v>
      </c>
      <c r="C64" s="974"/>
      <c r="D64" s="846"/>
      <c r="E64" s="836"/>
      <c r="F64" s="836"/>
      <c r="G64" s="836"/>
      <c r="H64" s="834">
        <f>SUM(C64:G64)</f>
        <v>0</v>
      </c>
      <c r="I64" s="832">
        <v>10582951</v>
      </c>
      <c r="J64" s="832">
        <v>445406</v>
      </c>
      <c r="K64" s="832"/>
      <c r="L64" s="832"/>
      <c r="M64" s="832"/>
      <c r="N64" s="834">
        <f>SUM(I64:M64)</f>
        <v>11028357</v>
      </c>
    </row>
    <row r="65" spans="1:15" ht="13.2" x14ac:dyDescent="0.25">
      <c r="A65" s="626" t="s">
        <v>612</v>
      </c>
      <c r="B65" s="540" t="s">
        <v>613</v>
      </c>
      <c r="C65" s="831"/>
      <c r="D65" s="832"/>
      <c r="E65" s="832"/>
      <c r="F65" s="832"/>
      <c r="G65" s="832"/>
      <c r="H65" s="834">
        <f>SUM(C65:G65)</f>
        <v>0</v>
      </c>
      <c r="I65" s="837">
        <v>6125907</v>
      </c>
      <c r="J65" s="838">
        <v>37840310</v>
      </c>
      <c r="K65" s="838"/>
      <c r="L65" s="838"/>
      <c r="M65" s="838"/>
      <c r="N65" s="830">
        <f t="shared" si="13"/>
        <v>43966217</v>
      </c>
    </row>
    <row r="66" spans="1:15" ht="27" thickBot="1" x14ac:dyDescent="0.3">
      <c r="A66" s="805" t="s">
        <v>614</v>
      </c>
      <c r="B66" s="793" t="s">
        <v>615</v>
      </c>
      <c r="C66" s="839">
        <v>500000</v>
      </c>
      <c r="D66" s="840"/>
      <c r="E66" s="840"/>
      <c r="F66" s="840"/>
      <c r="G66" s="840"/>
      <c r="H66" s="841">
        <f>SUM(C66:G66)</f>
        <v>500000</v>
      </c>
      <c r="I66" s="850">
        <v>48800000</v>
      </c>
      <c r="J66" s="848"/>
      <c r="K66" s="848"/>
      <c r="L66" s="848"/>
      <c r="M66" s="848"/>
      <c r="N66" s="841">
        <f t="shared" si="13"/>
        <v>48800000</v>
      </c>
    </row>
    <row r="67" spans="1:15" ht="14.4" thickBot="1" x14ac:dyDescent="0.35">
      <c r="A67" s="1420" t="s">
        <v>616</v>
      </c>
      <c r="B67" s="1421"/>
      <c r="C67" s="1432"/>
      <c r="D67" s="1432"/>
      <c r="E67" s="1432"/>
      <c r="F67" s="1432"/>
      <c r="G67" s="1432"/>
      <c r="H67" s="1432"/>
      <c r="I67" s="1432"/>
      <c r="J67" s="1432"/>
      <c r="K67" s="1432"/>
      <c r="L67" s="1432"/>
      <c r="M67" s="1432"/>
      <c r="N67" s="1433"/>
    </row>
    <row r="68" spans="1:15" ht="26.4" x14ac:dyDescent="0.25">
      <c r="A68" s="541" t="s">
        <v>617</v>
      </c>
      <c r="B68" s="538" t="s">
        <v>618</v>
      </c>
      <c r="C68" s="863"/>
      <c r="D68" s="864"/>
      <c r="E68" s="1275">
        <f>719800000+18876479</f>
        <v>738676479</v>
      </c>
      <c r="F68" s="864"/>
      <c r="G68" s="864"/>
      <c r="H68" s="830">
        <f>SUM(C68:G68)</f>
        <v>738676479</v>
      </c>
      <c r="I68" s="865"/>
      <c r="J68" s="864"/>
      <c r="K68" s="864"/>
      <c r="L68" s="864"/>
      <c r="M68" s="864"/>
      <c r="N68" s="830">
        <f>SUM(I68:M68)</f>
        <v>0</v>
      </c>
    </row>
    <row r="69" spans="1:15" ht="27" thickBot="1" x14ac:dyDescent="0.3">
      <c r="A69" s="627" t="s">
        <v>619</v>
      </c>
      <c r="B69" s="625" t="s">
        <v>620</v>
      </c>
      <c r="C69" s="866"/>
      <c r="D69" s="838"/>
      <c r="E69" s="838"/>
      <c r="F69" s="838">
        <v>1100000000</v>
      </c>
      <c r="G69" s="838"/>
      <c r="H69" s="834">
        <f>SUM(C69:G69)</f>
        <v>1100000000</v>
      </c>
      <c r="I69" s="837">
        <v>31800488</v>
      </c>
      <c r="J69" s="842"/>
      <c r="K69" s="838"/>
      <c r="L69" s="838">
        <v>1133102330</v>
      </c>
      <c r="M69" s="842">
        <f>142176108-10000000+8212136</f>
        <v>140388244</v>
      </c>
      <c r="N69" s="834">
        <f>SUM(I69:M69)</f>
        <v>1305291062</v>
      </c>
    </row>
    <row r="70" spans="1:15" ht="13.2" thickBot="1" x14ac:dyDescent="0.3">
      <c r="A70" s="1414" t="s">
        <v>49</v>
      </c>
      <c r="B70" s="1415"/>
      <c r="C70" s="869">
        <f t="shared" ref="C70:N70" si="14">SUM(C9:C69)</f>
        <v>2856451251</v>
      </c>
      <c r="D70" s="869">
        <f t="shared" si="14"/>
        <v>209350492</v>
      </c>
      <c r="E70" s="869">
        <f t="shared" si="14"/>
        <v>753676479</v>
      </c>
      <c r="F70" s="869">
        <f t="shared" si="14"/>
        <v>1100000000</v>
      </c>
      <c r="G70" s="869">
        <f t="shared" si="14"/>
        <v>1444475676</v>
      </c>
      <c r="H70" s="870">
        <f t="shared" si="14"/>
        <v>6363953898</v>
      </c>
      <c r="I70" s="869">
        <f t="shared" si="14"/>
        <v>899998421</v>
      </c>
      <c r="J70" s="869">
        <f t="shared" si="14"/>
        <v>1505668687</v>
      </c>
      <c r="K70" s="869">
        <f t="shared" si="14"/>
        <v>2684796216</v>
      </c>
      <c r="L70" s="869">
        <f t="shared" si="14"/>
        <v>1133102330</v>
      </c>
      <c r="M70" s="869">
        <f t="shared" si="14"/>
        <v>140388244</v>
      </c>
      <c r="N70" s="869">
        <f t="shared" si="14"/>
        <v>6363953898</v>
      </c>
      <c r="O70" s="393">
        <f>N70-H70</f>
        <v>0</v>
      </c>
    </row>
    <row r="71" spans="1:15" ht="13.2" thickBot="1" x14ac:dyDescent="0.3">
      <c r="A71" s="1434" t="s">
        <v>376</v>
      </c>
      <c r="B71" s="1435"/>
      <c r="C71" s="871"/>
      <c r="D71" s="872"/>
      <c r="E71" s="872"/>
      <c r="F71" s="872"/>
      <c r="G71" s="872"/>
      <c r="H71" s="834"/>
      <c r="I71" s="873"/>
      <c r="J71" s="832"/>
      <c r="K71" s="832">
        <f>SUM(K68:K69,K61:K66,K50:K54,K39:K48,K35:K37,K28:K32,K9:K15)</f>
        <v>2684796216</v>
      </c>
      <c r="L71" s="872"/>
      <c r="M71" s="872"/>
      <c r="N71" s="874">
        <f>SUM(I71:M71)</f>
        <v>2684796216</v>
      </c>
      <c r="O71" s="393"/>
    </row>
    <row r="72" spans="1:15" ht="13.2" thickBot="1" x14ac:dyDescent="0.3">
      <c r="A72" s="1414" t="s">
        <v>59</v>
      </c>
      <c r="B72" s="1415"/>
      <c r="C72" s="875">
        <f>C70-C71</f>
        <v>2856451251</v>
      </c>
      <c r="D72" s="876">
        <f t="shared" ref="D72:M72" si="15">D70-D71</f>
        <v>209350492</v>
      </c>
      <c r="E72" s="876">
        <f t="shared" si="15"/>
        <v>753676479</v>
      </c>
      <c r="F72" s="876">
        <f t="shared" si="15"/>
        <v>1100000000</v>
      </c>
      <c r="G72" s="876">
        <f t="shared" si="15"/>
        <v>1444475676</v>
      </c>
      <c r="H72" s="877">
        <f t="shared" si="15"/>
        <v>6363953898</v>
      </c>
      <c r="I72" s="875">
        <f t="shared" si="15"/>
        <v>899998421</v>
      </c>
      <c r="J72" s="876">
        <f t="shared" si="15"/>
        <v>1505668687</v>
      </c>
      <c r="K72" s="876">
        <f t="shared" si="15"/>
        <v>0</v>
      </c>
      <c r="L72" s="876">
        <f t="shared" si="15"/>
        <v>1133102330</v>
      </c>
      <c r="M72" s="876">
        <f t="shared" si="15"/>
        <v>140388244</v>
      </c>
      <c r="N72" s="878">
        <f>N70-N71</f>
        <v>3679157682</v>
      </c>
      <c r="O72" s="393"/>
    </row>
    <row r="73" spans="1:15" x14ac:dyDescent="0.25">
      <c r="B73" s="296"/>
      <c r="C73" s="298">
        <f>C72-C74</f>
        <v>0</v>
      </c>
      <c r="D73" s="298">
        <f t="shared" ref="D73:M73" si="16">D72-D74</f>
        <v>0</v>
      </c>
      <c r="E73" s="298">
        <f t="shared" si="16"/>
        <v>0</v>
      </c>
      <c r="F73" s="298">
        <f t="shared" si="16"/>
        <v>0</v>
      </c>
      <c r="G73" s="298">
        <f t="shared" si="16"/>
        <v>0</v>
      </c>
      <c r="H73" s="298">
        <f t="shared" si="16"/>
        <v>0</v>
      </c>
      <c r="I73" s="298">
        <f t="shared" si="16"/>
        <v>0</v>
      </c>
      <c r="J73" s="298">
        <f t="shared" si="16"/>
        <v>0</v>
      </c>
      <c r="K73" s="298">
        <f>K71-K74</f>
        <v>0</v>
      </c>
      <c r="L73" s="298">
        <f t="shared" si="16"/>
        <v>0</v>
      </c>
      <c r="M73" s="298">
        <f t="shared" si="16"/>
        <v>0</v>
      </c>
      <c r="N73" s="298">
        <f>N70-N74</f>
        <v>0</v>
      </c>
    </row>
    <row r="74" spans="1:15" x14ac:dyDescent="0.25">
      <c r="B74" s="296"/>
      <c r="C74" s="298">
        <f>'14. sz. mell. Önk.'!C7+'14. sz. mell. Önk.'!C16+'14. sz. mell. Önk.'!C37+'14. sz. mell. Önk.'!C55+'14. sz. mell. Önk.'!C78</f>
        <v>2856451251</v>
      </c>
      <c r="D74" s="298">
        <f>'14. sz. mell. Önk.'!C23+'14. sz. mell. Önk.'!C49+'14. sz. mell. Önk.'!C60</f>
        <v>209350492</v>
      </c>
      <c r="E74" s="298">
        <f>'14. sz. mell. Önk.'!C30</f>
        <v>753676479</v>
      </c>
      <c r="F74" s="298">
        <f>'14. sz. mell. Önk.'!C66</f>
        <v>1100000000</v>
      </c>
      <c r="G74" s="298">
        <f>'14. sz. mell. Önk.'!C75</f>
        <v>1444475676</v>
      </c>
      <c r="H74" s="544">
        <f>SUM(C74:G74)</f>
        <v>6363953898</v>
      </c>
      <c r="I74" s="298">
        <f>'14. sz. mell. Önk.'!C92-'14. sz. mell. Önk.'!C110+'14. sz. mell. Önk.'!C139</f>
        <v>899998421</v>
      </c>
      <c r="J74" s="298">
        <f>'14. sz. mell. Önk.'!C113</f>
        <v>1505668687</v>
      </c>
      <c r="K74" s="299">
        <f>'34.sz.m. int.összesítő'!C16</f>
        <v>2684796216</v>
      </c>
      <c r="L74" s="298">
        <f>'14. sz. mell. Önk.'!C128</f>
        <v>1133102330</v>
      </c>
      <c r="M74" s="298">
        <f>'14. sz. mell. Önk.'!C110</f>
        <v>140388244</v>
      </c>
      <c r="N74" s="297">
        <f>SUM(I74:M74)</f>
        <v>6363953898</v>
      </c>
    </row>
    <row r="75" spans="1:15" x14ac:dyDescent="0.25">
      <c r="B75" s="296"/>
      <c r="C75" s="298"/>
      <c r="D75" s="298"/>
      <c r="E75" s="298"/>
      <c r="F75" s="298"/>
      <c r="G75" s="298"/>
      <c r="H75" s="544"/>
      <c r="I75" s="300"/>
      <c r="J75" s="298"/>
      <c r="K75" s="299"/>
      <c r="L75" s="298"/>
      <c r="M75" s="298"/>
      <c r="N75" s="297"/>
    </row>
    <row r="76" spans="1:15" x14ac:dyDescent="0.25">
      <c r="B76" s="296"/>
      <c r="C76" s="298"/>
      <c r="D76" s="298"/>
      <c r="E76" s="298"/>
      <c r="F76" s="298"/>
      <c r="G76" s="298"/>
      <c r="H76" s="544"/>
      <c r="I76" s="298"/>
      <c r="J76" s="298"/>
      <c r="K76" s="299"/>
      <c r="L76" s="298"/>
      <c r="M76" s="298"/>
      <c r="N76" s="297"/>
    </row>
    <row r="77" spans="1:15" x14ac:dyDescent="0.25">
      <c r="B77" s="296"/>
      <c r="C77" s="298"/>
      <c r="D77" s="298"/>
      <c r="E77" s="298"/>
      <c r="F77" s="298"/>
      <c r="G77" s="298"/>
      <c r="H77" s="544"/>
      <c r="I77" s="298"/>
      <c r="J77" s="298"/>
      <c r="K77" s="299"/>
      <c r="L77" s="298"/>
      <c r="M77" s="298"/>
      <c r="N77" s="297"/>
    </row>
    <row r="78" spans="1:15" x14ac:dyDescent="0.25">
      <c r="B78" s="296"/>
      <c r="C78" s="298"/>
      <c r="D78" s="298"/>
      <c r="E78" s="298"/>
      <c r="F78" s="298"/>
      <c r="G78" s="298"/>
      <c r="H78" s="544"/>
      <c r="I78" s="298"/>
      <c r="J78" s="298"/>
      <c r="K78" s="299"/>
      <c r="L78" s="298"/>
      <c r="M78" s="298"/>
      <c r="N78" s="297"/>
    </row>
    <row r="79" spans="1:15" x14ac:dyDescent="0.25">
      <c r="B79" s="296"/>
      <c r="C79" s="298"/>
      <c r="D79" s="298"/>
      <c r="E79" s="298"/>
      <c r="F79" s="298"/>
      <c r="G79" s="298"/>
      <c r="H79" s="544"/>
      <c r="I79" s="298"/>
      <c r="J79" s="298"/>
      <c r="K79" s="299"/>
      <c r="L79" s="298"/>
      <c r="M79" s="298"/>
      <c r="N79" s="297"/>
    </row>
  </sheetData>
  <mergeCells count="20">
    <mergeCell ref="A72:B72"/>
    <mergeCell ref="A8:N8"/>
    <mergeCell ref="A16:N16"/>
    <mergeCell ref="A27:N27"/>
    <mergeCell ref="A33:N33"/>
    <mergeCell ref="A38:N38"/>
    <mergeCell ref="A49:N49"/>
    <mergeCell ref="A57:N57"/>
    <mergeCell ref="A67:N67"/>
    <mergeCell ref="A70:B70"/>
    <mergeCell ref="A71:B71"/>
    <mergeCell ref="A55:N55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42" orientation="landscape" r:id="rId1"/>
  <headerFooter alignWithMargins="0"/>
  <rowBreaks count="1" manualBreakCount="1">
    <brk id="37" max="1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1"/>
  <sheetViews>
    <sheetView workbookViewId="0">
      <selection activeCell="K32" sqref="K32"/>
    </sheetView>
  </sheetViews>
  <sheetFormatPr defaultColWidth="9.33203125" defaultRowHeight="15.6" x14ac:dyDescent="0.3"/>
  <cols>
    <col min="1" max="1" width="9" style="167" customWidth="1"/>
    <col min="2" max="2" width="66.33203125" style="167" bestFit="1" customWidth="1"/>
    <col min="3" max="3" width="15.44140625" style="168" hidden="1" customWidth="1"/>
    <col min="4" max="6" width="15.44140625" style="167" customWidth="1"/>
    <col min="7" max="16384" width="9.33203125" style="167"/>
  </cols>
  <sheetData>
    <row r="1" spans="1:10" x14ac:dyDescent="0.3">
      <c r="A1" s="1281" t="str">
        <f>CONCATENATE("43. tájékoztató tábla ",ALAPADATOK!A7," ",ALAPADATOK!B7," ",ALAPADATOK!C7," ",ALAPADATOK!D7," ",ALAPADATOK!E7," ",ALAPADATOK!F7," ",ALAPADATOK!G7," ",ALAPADATOK!H7)</f>
        <v>43. tájékoztató tábla a …. / 2024. ( .... ) önkormányzati rendelethez</v>
      </c>
      <c r="B1" s="1281"/>
      <c r="C1" s="1281"/>
      <c r="D1" s="1281"/>
      <c r="E1" s="1281"/>
      <c r="F1" s="1281"/>
    </row>
    <row r="2" spans="1:10" x14ac:dyDescent="0.3">
      <c r="A2" s="1398" t="s">
        <v>924</v>
      </c>
      <c r="B2" s="1398"/>
      <c r="C2" s="1398"/>
      <c r="D2" s="1398"/>
      <c r="E2" s="1398"/>
      <c r="F2" s="1398"/>
      <c r="G2" s="969"/>
      <c r="H2" s="969"/>
      <c r="I2" s="969"/>
      <c r="J2" s="969"/>
    </row>
    <row r="3" spans="1:10" ht="35.4" customHeight="1" x14ac:dyDescent="0.3">
      <c r="A3" s="1374" t="s">
        <v>1035</v>
      </c>
      <c r="B3" s="1374"/>
      <c r="C3" s="1374"/>
      <c r="D3" s="1374"/>
      <c r="E3" s="1374"/>
      <c r="F3" s="1374"/>
    </row>
    <row r="5" spans="1:10" ht="15.9" customHeight="1" x14ac:dyDescent="0.3">
      <c r="A5" s="1283" t="s">
        <v>13</v>
      </c>
      <c r="B5" s="1283"/>
      <c r="C5" s="1283"/>
      <c r="D5" s="1283"/>
      <c r="E5" s="1283"/>
    </row>
    <row r="6" spans="1:10" ht="15.9" customHeight="1" thickBot="1" x14ac:dyDescent="0.35">
      <c r="A6" s="1282" t="s">
        <v>114</v>
      </c>
      <c r="B6" s="1282"/>
      <c r="D6" s="641"/>
      <c r="E6" s="119"/>
      <c r="F6" s="119" t="s">
        <v>489</v>
      </c>
    </row>
    <row r="7" spans="1:10" ht="38.1" customHeight="1" thickBot="1" x14ac:dyDescent="0.35">
      <c r="A7" s="20" t="s">
        <v>63</v>
      </c>
      <c r="B7" s="380" t="s">
        <v>15</v>
      </c>
      <c r="C7" s="442" t="s">
        <v>540</v>
      </c>
      <c r="D7" s="442" t="s">
        <v>909</v>
      </c>
      <c r="E7" s="442" t="s">
        <v>973</v>
      </c>
      <c r="F7" s="442" t="s">
        <v>1051</v>
      </c>
    </row>
    <row r="8" spans="1:10" s="178" customFormat="1" ht="12.15" customHeight="1" thickBot="1" x14ac:dyDescent="0.25">
      <c r="A8" s="25" t="s">
        <v>382</v>
      </c>
      <c r="B8" s="275" t="s">
        <v>383</v>
      </c>
      <c r="C8" s="443" t="s">
        <v>384</v>
      </c>
      <c r="D8" s="174" t="s">
        <v>384</v>
      </c>
      <c r="E8" s="454" t="s">
        <v>434</v>
      </c>
      <c r="F8" s="454" t="s">
        <v>435</v>
      </c>
    </row>
    <row r="9" spans="1:10" s="179" customFormat="1" ht="12.15" customHeight="1" thickBot="1" x14ac:dyDescent="0.3">
      <c r="A9" s="17" t="s">
        <v>16</v>
      </c>
      <c r="B9" s="362" t="s">
        <v>541</v>
      </c>
      <c r="C9" s="444">
        <v>1350000000</v>
      </c>
      <c r="D9" s="444">
        <v>2200000000</v>
      </c>
      <c r="E9" s="444">
        <v>2250000000</v>
      </c>
      <c r="F9" s="444">
        <v>2300000000</v>
      </c>
    </row>
    <row r="10" spans="1:10" s="179" customFormat="1" ht="12.15" customHeight="1" thickBot="1" x14ac:dyDescent="0.3">
      <c r="A10" s="17" t="s">
        <v>17</v>
      </c>
      <c r="B10" s="365" t="s">
        <v>308</v>
      </c>
      <c r="C10" s="444">
        <v>181000000</v>
      </c>
      <c r="D10" s="444">
        <v>300000000</v>
      </c>
      <c r="E10" s="444">
        <v>300000000</v>
      </c>
      <c r="F10" s="444">
        <v>300000000</v>
      </c>
    </row>
    <row r="11" spans="1:10" s="179" customFormat="1" ht="12.15" customHeight="1" thickBot="1" x14ac:dyDescent="0.3">
      <c r="A11" s="17" t="s">
        <v>18</v>
      </c>
      <c r="B11" s="362" t="s">
        <v>315</v>
      </c>
      <c r="C11" s="444">
        <v>300000000</v>
      </c>
      <c r="D11" s="444">
        <v>300000000</v>
      </c>
      <c r="E11" s="444">
        <v>300000000</v>
      </c>
      <c r="F11" s="444">
        <v>300000000</v>
      </c>
    </row>
    <row r="12" spans="1:10" s="179" customFormat="1" ht="12.15" customHeight="1" thickBot="1" x14ac:dyDescent="0.3">
      <c r="A12" s="17" t="s">
        <v>124</v>
      </c>
      <c r="B12" s="362" t="s">
        <v>635</v>
      </c>
      <c r="C12" s="445">
        <f>SUM(C17:C18)+C13</f>
        <v>325500000</v>
      </c>
      <c r="D12" s="445">
        <f>D13+D16+D17+D18</f>
        <v>742800000</v>
      </c>
      <c r="E12" s="445">
        <f>E13+E16+E17+E18</f>
        <v>742800000</v>
      </c>
      <c r="F12" s="445">
        <f>F13+F16+F17+F18</f>
        <v>742800000</v>
      </c>
    </row>
    <row r="13" spans="1:10" s="179" customFormat="1" ht="12.15" customHeight="1" x14ac:dyDescent="0.25">
      <c r="A13" s="12" t="s">
        <v>195</v>
      </c>
      <c r="B13" s="266" t="s">
        <v>634</v>
      </c>
      <c r="C13" s="446">
        <f>SUM(C14:C16)</f>
        <v>310000000</v>
      </c>
      <c r="D13" s="446">
        <f>D14+D15</f>
        <v>720000000</v>
      </c>
      <c r="E13" s="446">
        <f>E14+E15</f>
        <v>720000000</v>
      </c>
      <c r="F13" s="446">
        <f>F14+F15</f>
        <v>720000000</v>
      </c>
    </row>
    <row r="14" spans="1:10" s="179" customFormat="1" ht="12.15" customHeight="1" x14ac:dyDescent="0.25">
      <c r="A14" s="11" t="s">
        <v>198</v>
      </c>
      <c r="B14" s="267" t="s">
        <v>201</v>
      </c>
      <c r="C14" s="447">
        <v>78000000</v>
      </c>
      <c r="D14" s="447">
        <v>71000000</v>
      </c>
      <c r="E14" s="447">
        <v>53000000</v>
      </c>
      <c r="F14" s="447">
        <v>53000000</v>
      </c>
    </row>
    <row r="15" spans="1:10" s="179" customFormat="1" ht="12.15" customHeight="1" x14ac:dyDescent="0.25">
      <c r="A15" s="11" t="s">
        <v>199</v>
      </c>
      <c r="B15" s="501" t="s">
        <v>552</v>
      </c>
      <c r="C15" s="447">
        <v>232000000</v>
      </c>
      <c r="D15" s="447">
        <v>649000000</v>
      </c>
      <c r="E15" s="447">
        <v>667000000</v>
      </c>
      <c r="F15" s="447">
        <v>667000000</v>
      </c>
    </row>
    <row r="16" spans="1:10" s="179" customFormat="1" ht="12.15" customHeight="1" x14ac:dyDescent="0.25">
      <c r="A16" s="11" t="s">
        <v>200</v>
      </c>
      <c r="B16" s="267" t="s">
        <v>469</v>
      </c>
      <c r="C16" s="448"/>
      <c r="D16" s="448"/>
      <c r="E16" s="448"/>
      <c r="F16" s="448"/>
    </row>
    <row r="17" spans="1:10" s="179" customFormat="1" ht="12.15" customHeight="1" x14ac:dyDescent="0.25">
      <c r="A17" s="11" t="s">
        <v>471</v>
      </c>
      <c r="B17" s="267" t="s">
        <v>203</v>
      </c>
      <c r="C17" s="447">
        <v>4500000</v>
      </c>
      <c r="D17" s="447"/>
      <c r="E17" s="447"/>
      <c r="F17" s="447"/>
    </row>
    <row r="18" spans="1:10" s="179" customFormat="1" ht="12.15" customHeight="1" thickBot="1" x14ac:dyDescent="0.3">
      <c r="A18" s="13" t="s">
        <v>480</v>
      </c>
      <c r="B18" s="268" t="s">
        <v>204</v>
      </c>
      <c r="C18" s="449">
        <v>11000000</v>
      </c>
      <c r="D18" s="449">
        <v>22800000</v>
      </c>
      <c r="E18" s="449">
        <v>22800000</v>
      </c>
      <c r="F18" s="449">
        <v>22800000</v>
      </c>
    </row>
    <row r="19" spans="1:10" s="179" customFormat="1" ht="12.15" customHeight="1" thickBot="1" x14ac:dyDescent="0.3">
      <c r="A19" s="17" t="s">
        <v>20</v>
      </c>
      <c r="B19" s="362" t="s">
        <v>542</v>
      </c>
      <c r="C19" s="444">
        <v>440000000</v>
      </c>
      <c r="D19" s="444">
        <v>440000000</v>
      </c>
      <c r="E19" s="444">
        <v>450000000</v>
      </c>
      <c r="F19" s="444">
        <v>460000000</v>
      </c>
    </row>
    <row r="20" spans="1:10" s="179" customFormat="1" ht="12.15" customHeight="1" thickBot="1" x14ac:dyDescent="0.3">
      <c r="A20" s="17" t="s">
        <v>21</v>
      </c>
      <c r="B20" s="362" t="s">
        <v>9</v>
      </c>
      <c r="C20" s="444">
        <v>6000000</v>
      </c>
      <c r="D20" s="444">
        <v>20000000</v>
      </c>
      <c r="E20" s="444">
        <v>10000000</v>
      </c>
      <c r="F20" s="444">
        <v>5000000</v>
      </c>
    </row>
    <row r="21" spans="1:10" s="179" customFormat="1" ht="12.15" customHeight="1" thickBot="1" x14ac:dyDescent="0.3">
      <c r="A21" s="17" t="s">
        <v>131</v>
      </c>
      <c r="B21" s="362" t="s">
        <v>543</v>
      </c>
      <c r="C21" s="444">
        <v>2000000</v>
      </c>
      <c r="D21" s="444">
        <v>1200000</v>
      </c>
      <c r="E21" s="444">
        <v>1000000</v>
      </c>
      <c r="F21" s="444">
        <v>1000000</v>
      </c>
    </row>
    <row r="22" spans="1:10" s="179" customFormat="1" ht="12.15" customHeight="1" thickBot="1" x14ac:dyDescent="0.3">
      <c r="A22" s="17" t="s">
        <v>23</v>
      </c>
      <c r="B22" s="365" t="s">
        <v>544</v>
      </c>
      <c r="C22" s="444"/>
      <c r="D22" s="444"/>
      <c r="E22" s="444"/>
      <c r="F22" s="444"/>
    </row>
    <row r="23" spans="1:10" s="179" customFormat="1" ht="12.15" customHeight="1" thickBot="1" x14ac:dyDescent="0.3">
      <c r="A23" s="17" t="s">
        <v>24</v>
      </c>
      <c r="B23" s="362" t="s">
        <v>237</v>
      </c>
      <c r="C23" s="445">
        <f>+C9+C10+C11+C12+C19+C20+C21+C22</f>
        <v>2604500000</v>
      </c>
      <c r="D23" s="445">
        <f>SUM(D9:D12)+SUM(D19:D22)</f>
        <v>4004000000</v>
      </c>
      <c r="E23" s="445">
        <f>SUM(E9:E12)+SUM(E19:E22)</f>
        <v>4053800000</v>
      </c>
      <c r="F23" s="445">
        <f>SUM(F9:F12)+SUM(F19:F22)</f>
        <v>4108800000</v>
      </c>
    </row>
    <row r="24" spans="1:10" s="179" customFormat="1" ht="12.15" customHeight="1" thickBot="1" x14ac:dyDescent="0.3">
      <c r="A24" s="17" t="s">
        <v>25</v>
      </c>
      <c r="B24" s="362" t="s">
        <v>545</v>
      </c>
      <c r="C24" s="623">
        <v>400000000</v>
      </c>
      <c r="D24" s="623">
        <v>2500000000</v>
      </c>
      <c r="E24" s="623">
        <v>2500000000</v>
      </c>
      <c r="F24" s="623">
        <v>2500000000</v>
      </c>
    </row>
    <row r="25" spans="1:10" s="179" customFormat="1" ht="12.15" customHeight="1" thickBot="1" x14ac:dyDescent="0.3">
      <c r="A25" s="17" t="s">
        <v>26</v>
      </c>
      <c r="B25" s="362" t="s">
        <v>546</v>
      </c>
      <c r="C25" s="445">
        <f>+C23+C24</f>
        <v>3004500000</v>
      </c>
      <c r="D25" s="445">
        <f>D23+D24</f>
        <v>6504000000</v>
      </c>
      <c r="E25" s="445">
        <f>E23+E24</f>
        <v>6553800000</v>
      </c>
      <c r="F25" s="445">
        <f>F23+F24</f>
        <v>6608800000</v>
      </c>
    </row>
    <row r="26" spans="1:10" s="179" customFormat="1" ht="12.15" customHeight="1" x14ac:dyDescent="0.25">
      <c r="A26" s="259"/>
      <c r="B26" s="260"/>
      <c r="C26" s="450"/>
      <c r="D26" s="451"/>
      <c r="E26" s="452"/>
      <c r="F26" s="452"/>
      <c r="J26" s="545"/>
    </row>
    <row r="27" spans="1:10" s="179" customFormat="1" ht="12.15" customHeight="1" x14ac:dyDescent="0.25">
      <c r="A27" s="1283" t="s">
        <v>44</v>
      </c>
      <c r="B27" s="1283"/>
      <c r="C27" s="1283"/>
      <c r="D27" s="1283"/>
      <c r="E27" s="1283"/>
    </row>
    <row r="28" spans="1:10" s="179" customFormat="1" ht="12.15" customHeight="1" thickBot="1" x14ac:dyDescent="0.3">
      <c r="A28" s="1284" t="s">
        <v>115</v>
      </c>
      <c r="B28" s="1284"/>
      <c r="C28" s="168"/>
      <c r="D28" s="641"/>
      <c r="E28" s="119"/>
      <c r="F28" s="119" t="str">
        <f>F6</f>
        <v>Forintban!</v>
      </c>
    </row>
    <row r="29" spans="1:10" s="179" customFormat="1" ht="24" customHeight="1" thickBot="1" x14ac:dyDescent="0.3">
      <c r="A29" s="20" t="s">
        <v>14</v>
      </c>
      <c r="B29" s="21" t="s">
        <v>45</v>
      </c>
      <c r="C29" s="21" t="str">
        <f>+C7</f>
        <v>2019. évi</v>
      </c>
      <c r="D29" s="21" t="str">
        <f>+D7</f>
        <v>2025. évi</v>
      </c>
      <c r="E29" s="453" t="str">
        <f>+E7</f>
        <v>2026. évi</v>
      </c>
      <c r="F29" s="453" t="str">
        <f>+F7</f>
        <v>2027. évi</v>
      </c>
    </row>
    <row r="30" spans="1:10" s="179" customFormat="1" ht="12.15" customHeight="1" thickBot="1" x14ac:dyDescent="0.3">
      <c r="A30" s="173" t="s">
        <v>382</v>
      </c>
      <c r="B30" s="174" t="s">
        <v>383</v>
      </c>
      <c r="C30" s="174" t="s">
        <v>384</v>
      </c>
      <c r="D30" s="174" t="s">
        <v>384</v>
      </c>
      <c r="E30" s="454" t="s">
        <v>434</v>
      </c>
      <c r="F30" s="454" t="s">
        <v>435</v>
      </c>
    </row>
    <row r="31" spans="1:10" s="179" customFormat="1" ht="15" customHeight="1" thickBot="1" x14ac:dyDescent="0.3">
      <c r="A31" s="17" t="s">
        <v>16</v>
      </c>
      <c r="B31" s="22" t="s">
        <v>547</v>
      </c>
      <c r="C31" s="455">
        <v>2420500000</v>
      </c>
      <c r="D31" s="455">
        <f>4019000000+125000000</f>
        <v>4144000000</v>
      </c>
      <c r="E31" s="455">
        <f>4150000000+111000000</f>
        <v>4261000000</v>
      </c>
      <c r="F31" s="215">
        <f>4300000000+91000000</f>
        <v>4391000000</v>
      </c>
    </row>
    <row r="32" spans="1:10" ht="12.15" customHeight="1" thickBot="1" x14ac:dyDescent="0.35">
      <c r="A32" s="238" t="s">
        <v>17</v>
      </c>
      <c r="B32" s="456" t="s">
        <v>548</v>
      </c>
      <c r="C32" s="457">
        <f>+C33+C34+C35</f>
        <v>457000000</v>
      </c>
      <c r="D32" s="457">
        <f>D33+D34+D35</f>
        <v>1160000000</v>
      </c>
      <c r="E32" s="457">
        <f>E33+E34+E35</f>
        <v>992800000</v>
      </c>
      <c r="F32" s="1060">
        <f>F33+F34+F35</f>
        <v>817800000</v>
      </c>
    </row>
    <row r="33" spans="1:6" ht="12.15" customHeight="1" x14ac:dyDescent="0.3">
      <c r="A33" s="12" t="s">
        <v>91</v>
      </c>
      <c r="B33" s="5" t="s">
        <v>157</v>
      </c>
      <c r="C33" s="458">
        <v>145000000</v>
      </c>
      <c r="D33" s="458">
        <v>650000000</v>
      </c>
      <c r="E33" s="458">
        <v>540000000</v>
      </c>
      <c r="F33" s="112">
        <v>500000000</v>
      </c>
    </row>
    <row r="34" spans="1:6" ht="12.15" customHeight="1" x14ac:dyDescent="0.3">
      <c r="A34" s="12" t="s">
        <v>92</v>
      </c>
      <c r="B34" s="9" t="s">
        <v>138</v>
      </c>
      <c r="C34" s="459">
        <v>292000000</v>
      </c>
      <c r="D34" s="459">
        <v>500000000</v>
      </c>
      <c r="E34" s="459">
        <v>442800000</v>
      </c>
      <c r="F34" s="111">
        <f>151000000+156800000</f>
        <v>307800000</v>
      </c>
    </row>
    <row r="35" spans="1:6" ht="12.15" customHeight="1" thickBot="1" x14ac:dyDescent="0.35">
      <c r="A35" s="12" t="s">
        <v>93</v>
      </c>
      <c r="B35" s="107" t="s">
        <v>159</v>
      </c>
      <c r="C35" s="459">
        <v>20000000</v>
      </c>
      <c r="D35" s="459">
        <v>10000000</v>
      </c>
      <c r="E35" s="459">
        <v>10000000</v>
      </c>
      <c r="F35" s="111">
        <v>10000000</v>
      </c>
    </row>
    <row r="36" spans="1:6" ht="12.15" customHeight="1" thickBot="1" x14ac:dyDescent="0.35">
      <c r="A36" s="17" t="s">
        <v>18</v>
      </c>
      <c r="B36" s="54" t="s">
        <v>406</v>
      </c>
      <c r="C36" s="460">
        <f>+C31+C32</f>
        <v>2877500000</v>
      </c>
      <c r="D36" s="460">
        <f>D31+D32</f>
        <v>5304000000</v>
      </c>
      <c r="E36" s="460">
        <f>E31+E32</f>
        <v>5253800000</v>
      </c>
      <c r="F36" s="110">
        <f>F31+F32</f>
        <v>5208800000</v>
      </c>
    </row>
    <row r="37" spans="1:6" ht="15" customHeight="1" thickBot="1" x14ac:dyDescent="0.35">
      <c r="A37" s="17" t="s">
        <v>19</v>
      </c>
      <c r="B37" s="54" t="s">
        <v>549</v>
      </c>
      <c r="C37" s="624">
        <v>155000000</v>
      </c>
      <c r="D37" s="624">
        <v>1200000000</v>
      </c>
      <c r="E37" s="624">
        <v>1300000000</v>
      </c>
      <c r="F37" s="1061">
        <v>1400000000</v>
      </c>
    </row>
    <row r="38" spans="1:6" s="179" customFormat="1" ht="12.9" customHeight="1" thickBot="1" x14ac:dyDescent="0.3">
      <c r="A38" s="108" t="s">
        <v>20</v>
      </c>
      <c r="B38" s="166" t="s">
        <v>550</v>
      </c>
      <c r="C38" s="461">
        <f>+C36+C37</f>
        <v>3032500000</v>
      </c>
      <c r="D38" s="461">
        <f>D36+D37</f>
        <v>6504000000</v>
      </c>
      <c r="E38" s="461">
        <f>E36+E37</f>
        <v>6553800000</v>
      </c>
      <c r="F38" s="189">
        <f>F36+F37</f>
        <v>6608800000</v>
      </c>
    </row>
    <row r="39" spans="1:6" x14ac:dyDescent="0.3">
      <c r="C39" s="167"/>
      <c r="D39" s="1059">
        <f>D25-D38</f>
        <v>0</v>
      </c>
      <c r="E39" s="1059">
        <f>E25-E38</f>
        <v>0</v>
      </c>
      <c r="F39" s="1059">
        <f>F25-F38</f>
        <v>0</v>
      </c>
    </row>
    <row r="40" spans="1:6" x14ac:dyDescent="0.3">
      <c r="C40" s="167"/>
    </row>
    <row r="41" spans="1:6" x14ac:dyDescent="0.3">
      <c r="C41" s="167"/>
    </row>
    <row r="42" spans="1:6" ht="16.5" customHeight="1" x14ac:dyDescent="0.3">
      <c r="C42" s="167"/>
    </row>
    <row r="43" spans="1:6" x14ac:dyDescent="0.3">
      <c r="C43" s="167"/>
    </row>
    <row r="44" spans="1:6" x14ac:dyDescent="0.3">
      <c r="C44" s="167"/>
    </row>
    <row r="45" spans="1:6" x14ac:dyDescent="0.3">
      <c r="C45" s="167"/>
    </row>
    <row r="46" spans="1:6" x14ac:dyDescent="0.3">
      <c r="C46" s="167"/>
    </row>
    <row r="47" spans="1:6" x14ac:dyDescent="0.3">
      <c r="C47" s="167"/>
    </row>
    <row r="48" spans="1:6" x14ac:dyDescent="0.3">
      <c r="C48" s="167"/>
    </row>
    <row r="49" spans="3:3" x14ac:dyDescent="0.3">
      <c r="C49" s="167"/>
    </row>
    <row r="50" spans="3:3" x14ac:dyDescent="0.3">
      <c r="C50" s="167"/>
    </row>
    <row r="51" spans="3:3" x14ac:dyDescent="0.3">
      <c r="C51" s="167"/>
    </row>
  </sheetData>
  <mergeCells count="7">
    <mergeCell ref="A28:B28"/>
    <mergeCell ref="A1:F1"/>
    <mergeCell ref="A3:F3"/>
    <mergeCell ref="A5:E5"/>
    <mergeCell ref="A6:B6"/>
    <mergeCell ref="A27:E27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2"/>
  <sheetViews>
    <sheetView topLeftCell="D1" zoomScale="130" zoomScaleNormal="130" zoomScaleSheetLayoutView="160" workbookViewId="0">
      <selection activeCell="E16" sqref="E16"/>
    </sheetView>
  </sheetViews>
  <sheetFormatPr defaultColWidth="10.6640625" defaultRowHeight="12.6" x14ac:dyDescent="0.25"/>
  <cols>
    <col min="1" max="2" width="9.33203125" style="284" hidden="1" customWidth="1"/>
    <col min="3" max="3" width="58.109375" style="284" hidden="1" customWidth="1"/>
    <col min="4" max="4" width="70.109375" style="284" customWidth="1"/>
    <col min="5" max="5" width="14.33203125" style="284" customWidth="1"/>
    <col min="6" max="6" width="9.6640625" style="284" customWidth="1"/>
    <col min="7" max="7" width="10.6640625" style="284" customWidth="1"/>
    <col min="8" max="16384" width="10.6640625" style="284"/>
  </cols>
  <sheetData>
    <row r="1" spans="4:9" ht="13.2" x14ac:dyDescent="0.25">
      <c r="D1" s="1436" t="str">
        <f>CONCATENATE("44. melléklet ",ALAPADATOK!A7," ",ALAPADATOK!B7," ",ALAPADATOK!C7," ",ALAPADATOK!D7," ",ALAPADATOK!E7," ",ALAPADATOK!F7," ",ALAPADATOK!G7," ",ALAPADATOK!H7)</f>
        <v>44. melléklet a …. / 2024. ( .... ) önkormányzati rendelethez</v>
      </c>
      <c r="E1" s="1436"/>
      <c r="F1" s="282"/>
      <c r="G1" s="282"/>
    </row>
    <row r="2" spans="4:9" ht="13.2" x14ac:dyDescent="0.25">
      <c r="D2" s="1398" t="s">
        <v>925</v>
      </c>
      <c r="E2" s="1398"/>
      <c r="F2" s="968"/>
      <c r="G2" s="968"/>
      <c r="H2" s="968"/>
      <c r="I2" s="968"/>
    </row>
    <row r="3" spans="4:9" ht="13.2" x14ac:dyDescent="0.25">
      <c r="D3" s="282"/>
      <c r="E3" s="282"/>
      <c r="F3" s="282"/>
      <c r="G3" s="282"/>
    </row>
    <row r="4" spans="4:9" ht="18" x14ac:dyDescent="0.35">
      <c r="D4" s="1437" t="s">
        <v>560</v>
      </c>
      <c r="E4" s="1437"/>
      <c r="F4" s="283"/>
      <c r="G4" s="283"/>
    </row>
    <row r="5" spans="4:9" ht="18" x14ac:dyDescent="0.35">
      <c r="D5" s="1437"/>
      <c r="E5" s="1437"/>
      <c r="F5" s="283"/>
      <c r="G5" s="283"/>
    </row>
    <row r="6" spans="4:9" ht="13.2" x14ac:dyDescent="0.25">
      <c r="D6" s="282"/>
      <c r="E6" s="282"/>
      <c r="F6" s="282"/>
      <c r="G6" s="282"/>
    </row>
    <row r="8" spans="4:9" ht="13.2" thickBot="1" x14ac:dyDescent="0.3"/>
    <row r="9" spans="4:9" ht="13.2" thickBot="1" x14ac:dyDescent="0.3">
      <c r="D9" s="909" t="s">
        <v>2</v>
      </c>
      <c r="E9" s="910" t="s">
        <v>639</v>
      </c>
    </row>
    <row r="10" spans="4:9" x14ac:dyDescent="0.25">
      <c r="D10" s="560" t="s">
        <v>912</v>
      </c>
      <c r="E10" s="810">
        <v>53</v>
      </c>
    </row>
    <row r="11" spans="4:9" x14ac:dyDescent="0.25">
      <c r="D11" s="900" t="s">
        <v>911</v>
      </c>
      <c r="E11" s="810">
        <v>19.75</v>
      </c>
    </row>
    <row r="12" spans="4:9" x14ac:dyDescent="0.25">
      <c r="D12" s="560" t="s">
        <v>557</v>
      </c>
      <c r="E12" s="612">
        <f>21+1</f>
        <v>22</v>
      </c>
    </row>
    <row r="13" spans="4:9" x14ac:dyDescent="0.25">
      <c r="D13" s="560" t="s">
        <v>910</v>
      </c>
      <c r="E13" s="612">
        <v>142</v>
      </c>
    </row>
    <row r="14" spans="4:9" x14ac:dyDescent="0.25">
      <c r="D14" s="560" t="s">
        <v>817</v>
      </c>
      <c r="E14" s="612">
        <v>90</v>
      </c>
    </row>
    <row r="15" spans="4:9" s="561" customFormat="1" x14ac:dyDescent="0.25">
      <c r="D15" s="897" t="s">
        <v>913</v>
      </c>
      <c r="E15" s="898">
        <v>0</v>
      </c>
    </row>
    <row r="16" spans="4:9" s="561" customFormat="1" ht="13.2" thickBot="1" x14ac:dyDescent="0.25">
      <c r="D16" s="899" t="s">
        <v>479</v>
      </c>
      <c r="E16" s="898">
        <v>50.38</v>
      </c>
    </row>
    <row r="17" spans="4:5" ht="13.8" thickBot="1" x14ac:dyDescent="0.3">
      <c r="D17" s="520" t="s">
        <v>558</v>
      </c>
      <c r="E17" s="796">
        <f>SUM(E10:E16)-E13</f>
        <v>235.13</v>
      </c>
    </row>
    <row r="18" spans="4:5" ht="13.8" thickBot="1" x14ac:dyDescent="0.3">
      <c r="D18" s="797" t="s">
        <v>559</v>
      </c>
      <c r="E18" s="796">
        <f>E17-E14-E15</f>
        <v>145.13</v>
      </c>
    </row>
    <row r="19" spans="4:5" ht="13.2" thickBot="1" x14ac:dyDescent="0.3">
      <c r="D19" s="971" t="s">
        <v>926</v>
      </c>
      <c r="E19" s="970">
        <v>6</v>
      </c>
    </row>
    <row r="20" spans="4:5" ht="13.2" thickBot="1" x14ac:dyDescent="0.3">
      <c r="D20" s="971" t="s">
        <v>997</v>
      </c>
      <c r="E20" s="970">
        <v>42</v>
      </c>
    </row>
    <row r="21" spans="4:5" ht="13.8" thickBot="1" x14ac:dyDescent="0.3">
      <c r="D21" s="520" t="s">
        <v>998</v>
      </c>
      <c r="E21" s="796">
        <f>E17+E19+E20</f>
        <v>283.13</v>
      </c>
    </row>
    <row r="22" spans="4:5" ht="13.8" thickBot="1" x14ac:dyDescent="0.3">
      <c r="D22" s="520" t="s">
        <v>638</v>
      </c>
      <c r="E22" s="796">
        <f>E18+E19</f>
        <v>151.13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03" sqref="C103"/>
    </sheetView>
  </sheetViews>
  <sheetFormatPr defaultColWidth="9.33203125" defaultRowHeight="15.6" x14ac:dyDescent="0.3"/>
  <cols>
    <col min="1" max="1" width="9.4414062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3">
      <c r="A1" s="1281" t="str">
        <f>CONCATENATE("4. melléklet"," ",ALAPADATOK!A7," ",ALAPADATOK!B7," ",ALAPADATOK!C7," ",ALAPADATOK!D7," ",ALAPADATOK!E7," ",ALAPADATOK!F7," ",ALAPADATOK!G7," ",ALAPADATOK!H7)</f>
        <v>4. melléklet a …. / 2024. ( .... ) önkormányzati rendelethez</v>
      </c>
      <c r="B1" s="1281"/>
      <c r="C1" s="1281"/>
    </row>
    <row r="2" spans="1:3" x14ac:dyDescent="0.3">
      <c r="A2" s="583"/>
      <c r="B2" s="583"/>
      <c r="C2" s="583"/>
    </row>
    <row r="3" spans="1:3" x14ac:dyDescent="0.3">
      <c r="A3" s="1280" t="str">
        <f>CONCATENATE(ALAPADATOK!A3)</f>
        <v>Tiszavasvári Város Önkormányzat</v>
      </c>
      <c r="B3" s="1280"/>
      <c r="C3" s="1280"/>
    </row>
    <row r="4" spans="1:3" x14ac:dyDescent="0.3">
      <c r="A4" s="1279" t="str">
        <f>CONCATENATE(ALAPADATOK!D7," ÉVI KÖLTSÉGVETÉS")</f>
        <v>2024. ÉVI KÖLTSÉGVETÉS</v>
      </c>
      <c r="B4" s="1279"/>
      <c r="C4" s="1279"/>
    </row>
    <row r="5" spans="1:3" x14ac:dyDescent="0.3">
      <c r="A5" s="1279" t="s">
        <v>661</v>
      </c>
      <c r="B5" s="1279"/>
      <c r="C5" s="1279"/>
    </row>
    <row r="7" spans="1:3" ht="15.9" customHeight="1" x14ac:dyDescent="0.3">
      <c r="A7" s="1283" t="s">
        <v>13</v>
      </c>
      <c r="B7" s="1283"/>
      <c r="C7" s="1283"/>
    </row>
    <row r="8" spans="1:3" ht="15.9" customHeight="1" thickBot="1" x14ac:dyDescent="0.35">
      <c r="A8" s="1282" t="s">
        <v>114</v>
      </c>
      <c r="B8" s="1282"/>
      <c r="C8" s="119" t="s">
        <v>483</v>
      </c>
    </row>
    <row r="9" spans="1:3" ht="38.1" customHeight="1" thickBot="1" x14ac:dyDescent="0.35">
      <c r="A9" s="20" t="s">
        <v>63</v>
      </c>
      <c r="B9" s="21" t="s">
        <v>15</v>
      </c>
      <c r="C9" s="29" t="s">
        <v>1010</v>
      </c>
    </row>
    <row r="10" spans="1:3" s="178" customFormat="1" ht="12.15" customHeight="1" thickBot="1" x14ac:dyDescent="0.25">
      <c r="A10" s="173" t="s">
        <v>382</v>
      </c>
      <c r="B10" s="645" t="s">
        <v>383</v>
      </c>
      <c r="C10" s="175" t="s">
        <v>384</v>
      </c>
    </row>
    <row r="11" spans="1:3" s="179" customFormat="1" ht="12.15" customHeight="1" thickBot="1" x14ac:dyDescent="0.3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.15" customHeight="1" x14ac:dyDescent="0.25">
      <c r="A12" s="12" t="s">
        <v>85</v>
      </c>
      <c r="B12" s="180" t="s">
        <v>180</v>
      </c>
      <c r="C12" s="112"/>
    </row>
    <row r="13" spans="1:3" s="179" customFormat="1" ht="12.15" customHeight="1" x14ac:dyDescent="0.25">
      <c r="A13" s="11" t="s">
        <v>86</v>
      </c>
      <c r="B13" s="181" t="s">
        <v>181</v>
      </c>
      <c r="C13" s="111"/>
    </row>
    <row r="14" spans="1:3" s="179" customFormat="1" ht="12.15" customHeight="1" x14ac:dyDescent="0.25">
      <c r="A14" s="11" t="s">
        <v>87</v>
      </c>
      <c r="B14" s="181" t="s">
        <v>696</v>
      </c>
      <c r="C14" s="111"/>
    </row>
    <row r="15" spans="1:3" s="179" customFormat="1" ht="12.15" customHeight="1" x14ac:dyDescent="0.25">
      <c r="A15" s="11" t="s">
        <v>694</v>
      </c>
      <c r="B15" s="181" t="s">
        <v>697</v>
      </c>
      <c r="C15" s="111"/>
    </row>
    <row r="16" spans="1:3" s="179" customFormat="1" ht="12.15" customHeight="1" x14ac:dyDescent="0.25">
      <c r="A16" s="11" t="s">
        <v>695</v>
      </c>
      <c r="B16" s="181" t="s">
        <v>698</v>
      </c>
      <c r="C16" s="111"/>
    </row>
    <row r="17" spans="1:3" s="179" customFormat="1" ht="12.15" customHeight="1" x14ac:dyDescent="0.25">
      <c r="A17" s="11" t="s">
        <v>88</v>
      </c>
      <c r="B17" s="181" t="s">
        <v>183</v>
      </c>
      <c r="C17" s="111"/>
    </row>
    <row r="18" spans="1:3" s="179" customFormat="1" ht="12.15" customHeight="1" x14ac:dyDescent="0.25">
      <c r="A18" s="11" t="s">
        <v>111</v>
      </c>
      <c r="B18" s="106" t="s">
        <v>385</v>
      </c>
      <c r="C18" s="111"/>
    </row>
    <row r="19" spans="1:3" s="179" customFormat="1" ht="12.15" customHeight="1" thickBot="1" x14ac:dyDescent="0.3">
      <c r="A19" s="13" t="s">
        <v>89</v>
      </c>
      <c r="B19" s="107" t="s">
        <v>386</v>
      </c>
      <c r="C19" s="111"/>
    </row>
    <row r="20" spans="1:3" s="179" customFormat="1" ht="12.15" customHeight="1" thickBot="1" x14ac:dyDescent="0.3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.15" customHeight="1" x14ac:dyDescent="0.25">
      <c r="A21" s="12" t="s">
        <v>91</v>
      </c>
      <c r="B21" s="180" t="s">
        <v>185</v>
      </c>
      <c r="C21" s="112"/>
    </row>
    <row r="22" spans="1:3" s="179" customFormat="1" ht="12.15" customHeight="1" x14ac:dyDescent="0.25">
      <c r="A22" s="11" t="s">
        <v>92</v>
      </c>
      <c r="B22" s="181" t="s">
        <v>186</v>
      </c>
      <c r="C22" s="111"/>
    </row>
    <row r="23" spans="1:3" s="179" customFormat="1" ht="12.15" customHeight="1" x14ac:dyDescent="0.25">
      <c r="A23" s="11" t="s">
        <v>93</v>
      </c>
      <c r="B23" s="181" t="s">
        <v>352</v>
      </c>
      <c r="C23" s="111"/>
    </row>
    <row r="24" spans="1:3" s="179" customFormat="1" ht="12.15" customHeight="1" x14ac:dyDescent="0.25">
      <c r="A24" s="11" t="s">
        <v>94</v>
      </c>
      <c r="B24" s="181" t="s">
        <v>353</v>
      </c>
      <c r="C24" s="111"/>
    </row>
    <row r="25" spans="1:3" s="179" customFormat="1" ht="12.15" customHeight="1" x14ac:dyDescent="0.25">
      <c r="A25" s="11" t="s">
        <v>95</v>
      </c>
      <c r="B25" s="181" t="s">
        <v>187</v>
      </c>
      <c r="C25" s="114"/>
    </row>
    <row r="26" spans="1:3" s="179" customFormat="1" ht="12.15" customHeight="1" thickBot="1" x14ac:dyDescent="0.3">
      <c r="A26" s="13" t="s">
        <v>104</v>
      </c>
      <c r="B26" s="107" t="s">
        <v>188</v>
      </c>
      <c r="C26" s="113"/>
    </row>
    <row r="27" spans="1:3" s="179" customFormat="1" ht="12.15" customHeight="1" thickBot="1" x14ac:dyDescent="0.3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15" customHeight="1" x14ac:dyDescent="0.25">
      <c r="A28" s="12" t="s">
        <v>74</v>
      </c>
      <c r="B28" s="180" t="s">
        <v>190</v>
      </c>
      <c r="C28" s="112"/>
    </row>
    <row r="29" spans="1:3" s="179" customFormat="1" ht="12.15" customHeight="1" x14ac:dyDescent="0.25">
      <c r="A29" s="11" t="s">
        <v>75</v>
      </c>
      <c r="B29" s="181" t="s">
        <v>191</v>
      </c>
      <c r="C29" s="111"/>
    </row>
    <row r="30" spans="1:3" s="179" customFormat="1" ht="12.15" customHeight="1" x14ac:dyDescent="0.25">
      <c r="A30" s="11" t="s">
        <v>76</v>
      </c>
      <c r="B30" s="181" t="s">
        <v>354</v>
      </c>
      <c r="C30" s="111"/>
    </row>
    <row r="31" spans="1:3" s="179" customFormat="1" ht="12.15" customHeight="1" x14ac:dyDescent="0.25">
      <c r="A31" s="11" t="s">
        <v>77</v>
      </c>
      <c r="B31" s="181" t="s">
        <v>355</v>
      </c>
      <c r="C31" s="111"/>
    </row>
    <row r="32" spans="1:3" s="179" customFormat="1" ht="12.15" customHeight="1" x14ac:dyDescent="0.25">
      <c r="A32" s="11" t="s">
        <v>122</v>
      </c>
      <c r="B32" s="181" t="s">
        <v>192</v>
      </c>
      <c r="C32" s="111"/>
    </row>
    <row r="33" spans="1:3" s="179" customFormat="1" ht="12.15" customHeight="1" thickBot="1" x14ac:dyDescent="0.3">
      <c r="A33" s="13" t="s">
        <v>123</v>
      </c>
      <c r="B33" s="182" t="s">
        <v>193</v>
      </c>
      <c r="C33" s="113"/>
    </row>
    <row r="34" spans="1:3" s="179" customFormat="1" ht="12.15" customHeight="1" thickBot="1" x14ac:dyDescent="0.3">
      <c r="A34" s="17" t="s">
        <v>124</v>
      </c>
      <c r="B34" s="18" t="s">
        <v>194</v>
      </c>
      <c r="C34" s="115">
        <f>+C35+C39+C40</f>
        <v>0</v>
      </c>
    </row>
    <row r="35" spans="1:3" s="179" customFormat="1" ht="12.15" customHeight="1" x14ac:dyDescent="0.25">
      <c r="A35" s="12" t="s">
        <v>195</v>
      </c>
      <c r="B35" s="180" t="s">
        <v>553</v>
      </c>
      <c r="C35" s="176">
        <f>C36+C37</f>
        <v>0</v>
      </c>
    </row>
    <row r="36" spans="1:3" s="179" customFormat="1" ht="12.15" customHeight="1" x14ac:dyDescent="0.25">
      <c r="A36" s="11" t="s">
        <v>196</v>
      </c>
      <c r="B36" s="181" t="s">
        <v>201</v>
      </c>
      <c r="C36" s="111"/>
    </row>
    <row r="37" spans="1:3" s="179" customFormat="1" ht="12.15" customHeight="1" x14ac:dyDescent="0.25">
      <c r="A37" s="11" t="s">
        <v>197</v>
      </c>
      <c r="B37" s="232" t="s">
        <v>552</v>
      </c>
      <c r="C37" s="111"/>
    </row>
    <row r="38" spans="1:3" s="179" customFormat="1" ht="12.15" customHeight="1" x14ac:dyDescent="0.25">
      <c r="A38" s="11" t="s">
        <v>198</v>
      </c>
      <c r="B38" s="181" t="s">
        <v>469</v>
      </c>
      <c r="C38" s="111"/>
    </row>
    <row r="39" spans="1:3" s="179" customFormat="1" ht="12.15" customHeight="1" x14ac:dyDescent="0.25">
      <c r="A39" s="11" t="s">
        <v>200</v>
      </c>
      <c r="B39" s="181" t="s">
        <v>203</v>
      </c>
      <c r="C39" s="111"/>
    </row>
    <row r="40" spans="1:3" s="179" customFormat="1" ht="12.15" customHeight="1" thickBot="1" x14ac:dyDescent="0.3">
      <c r="A40" s="13" t="s">
        <v>471</v>
      </c>
      <c r="B40" s="182" t="s">
        <v>204</v>
      </c>
      <c r="C40" s="113"/>
    </row>
    <row r="41" spans="1:3" s="179" customFormat="1" ht="12.15" customHeight="1" thickBot="1" x14ac:dyDescent="0.3">
      <c r="A41" s="17" t="s">
        <v>20</v>
      </c>
      <c r="B41" s="18" t="s">
        <v>387</v>
      </c>
      <c r="C41" s="110">
        <f>SUM(C42:C52)</f>
        <v>100000</v>
      </c>
    </row>
    <row r="42" spans="1:3" s="179" customFormat="1" ht="12.15" customHeight="1" x14ac:dyDescent="0.25">
      <c r="A42" s="12" t="s">
        <v>78</v>
      </c>
      <c r="B42" s="180" t="s">
        <v>207</v>
      </c>
      <c r="C42" s="112"/>
    </row>
    <row r="43" spans="1:3" s="179" customFormat="1" ht="12.15" customHeight="1" x14ac:dyDescent="0.25">
      <c r="A43" s="11" t="s">
        <v>79</v>
      </c>
      <c r="B43" s="181" t="s">
        <v>208</v>
      </c>
      <c r="C43" s="114"/>
    </row>
    <row r="44" spans="1:3" s="179" customFormat="1" ht="12.15" customHeight="1" x14ac:dyDescent="0.25">
      <c r="A44" s="11" t="s">
        <v>80</v>
      </c>
      <c r="B44" s="181" t="s">
        <v>209</v>
      </c>
      <c r="C44" s="114"/>
    </row>
    <row r="45" spans="1:3" s="179" customFormat="1" ht="12.15" customHeight="1" x14ac:dyDescent="0.25">
      <c r="A45" s="11" t="s">
        <v>126</v>
      </c>
      <c r="B45" s="181" t="s">
        <v>210</v>
      </c>
      <c r="C45" s="915"/>
    </row>
    <row r="46" spans="1:3" s="179" customFormat="1" ht="12.15" customHeight="1" x14ac:dyDescent="0.25">
      <c r="A46" s="11" t="s">
        <v>127</v>
      </c>
      <c r="B46" s="181" t="s">
        <v>211</v>
      </c>
      <c r="C46" s="915"/>
    </row>
    <row r="47" spans="1:3" s="179" customFormat="1" ht="12.15" customHeight="1" x14ac:dyDescent="0.25">
      <c r="A47" s="11" t="s">
        <v>128</v>
      </c>
      <c r="B47" s="181" t="s">
        <v>212</v>
      </c>
      <c r="C47" s="114"/>
    </row>
    <row r="48" spans="1:3" s="179" customFormat="1" ht="12.15" customHeight="1" x14ac:dyDescent="0.25">
      <c r="A48" s="11" t="s">
        <v>129</v>
      </c>
      <c r="B48" s="181" t="s">
        <v>213</v>
      </c>
      <c r="C48" s="915"/>
    </row>
    <row r="49" spans="1:3" s="179" customFormat="1" ht="12.15" customHeight="1" x14ac:dyDescent="0.25">
      <c r="A49" s="11" t="s">
        <v>130</v>
      </c>
      <c r="B49" s="181" t="s">
        <v>474</v>
      </c>
      <c r="C49" s="915"/>
    </row>
    <row r="50" spans="1:3" s="179" customFormat="1" ht="12.15" customHeight="1" x14ac:dyDescent="0.25">
      <c r="A50" s="11" t="s">
        <v>205</v>
      </c>
      <c r="B50" s="181" t="s">
        <v>215</v>
      </c>
      <c r="C50" s="915"/>
    </row>
    <row r="51" spans="1:3" s="179" customFormat="1" ht="12.15" customHeight="1" x14ac:dyDescent="0.25">
      <c r="A51" s="13" t="s">
        <v>206</v>
      </c>
      <c r="B51" s="182" t="s">
        <v>388</v>
      </c>
      <c r="C51" s="916"/>
    </row>
    <row r="52" spans="1:3" s="179" customFormat="1" ht="12.15" customHeight="1" thickBot="1" x14ac:dyDescent="0.3">
      <c r="A52" s="13" t="s">
        <v>389</v>
      </c>
      <c r="B52" s="107" t="s">
        <v>216</v>
      </c>
      <c r="C52" s="170">
        <v>100000</v>
      </c>
    </row>
    <row r="53" spans="1:3" s="179" customFormat="1" ht="12.15" customHeight="1" thickBot="1" x14ac:dyDescent="0.3">
      <c r="A53" s="17" t="s">
        <v>21</v>
      </c>
      <c r="B53" s="18" t="s">
        <v>217</v>
      </c>
      <c r="C53" s="110">
        <f>SUM(C54:C58)</f>
        <v>0</v>
      </c>
    </row>
    <row r="54" spans="1:3" s="179" customFormat="1" ht="12.15" customHeight="1" x14ac:dyDescent="0.25">
      <c r="A54" s="12" t="s">
        <v>81</v>
      </c>
      <c r="B54" s="180" t="s">
        <v>221</v>
      </c>
      <c r="C54" s="214"/>
    </row>
    <row r="55" spans="1:3" s="179" customFormat="1" ht="12.15" customHeight="1" x14ac:dyDescent="0.25">
      <c r="A55" s="11" t="s">
        <v>82</v>
      </c>
      <c r="B55" s="181" t="s">
        <v>222</v>
      </c>
      <c r="C55" s="114"/>
    </row>
    <row r="56" spans="1:3" s="179" customFormat="1" ht="12.15" customHeight="1" x14ac:dyDescent="0.25">
      <c r="A56" s="11" t="s">
        <v>218</v>
      </c>
      <c r="B56" s="181" t="s">
        <v>223</v>
      </c>
      <c r="C56" s="114"/>
    </row>
    <row r="57" spans="1:3" s="179" customFormat="1" ht="12.15" customHeight="1" x14ac:dyDescent="0.25">
      <c r="A57" s="11" t="s">
        <v>219</v>
      </c>
      <c r="B57" s="181" t="s">
        <v>224</v>
      </c>
      <c r="C57" s="114"/>
    </row>
    <row r="58" spans="1:3" s="179" customFormat="1" ht="12.15" customHeight="1" thickBot="1" x14ac:dyDescent="0.3">
      <c r="A58" s="13" t="s">
        <v>220</v>
      </c>
      <c r="B58" s="107" t="s">
        <v>225</v>
      </c>
      <c r="C58" s="170"/>
    </row>
    <row r="59" spans="1:3" s="179" customFormat="1" ht="12.15" customHeight="1" thickBot="1" x14ac:dyDescent="0.3">
      <c r="A59" s="17" t="s">
        <v>131</v>
      </c>
      <c r="B59" s="18" t="s">
        <v>226</v>
      </c>
      <c r="C59" s="110">
        <f>SUM(C60:C62)</f>
        <v>0</v>
      </c>
    </row>
    <row r="60" spans="1:3" s="179" customFormat="1" ht="12.15" customHeight="1" x14ac:dyDescent="0.25">
      <c r="A60" s="12" t="s">
        <v>83</v>
      </c>
      <c r="B60" s="180" t="s">
        <v>227</v>
      </c>
      <c r="C60" s="112"/>
    </row>
    <row r="61" spans="1:3" s="179" customFormat="1" ht="12.15" customHeight="1" x14ac:dyDescent="0.25">
      <c r="A61" s="11" t="s">
        <v>84</v>
      </c>
      <c r="B61" s="181" t="s">
        <v>356</v>
      </c>
      <c r="C61" s="111"/>
    </row>
    <row r="62" spans="1:3" s="179" customFormat="1" ht="12.15" customHeight="1" x14ac:dyDescent="0.25">
      <c r="A62" s="11" t="s">
        <v>230</v>
      </c>
      <c r="B62" s="181" t="s">
        <v>228</v>
      </c>
      <c r="C62" s="111"/>
    </row>
    <row r="63" spans="1:3" s="179" customFormat="1" ht="12.15" customHeight="1" thickBot="1" x14ac:dyDescent="0.3">
      <c r="A63" s="13" t="s">
        <v>231</v>
      </c>
      <c r="B63" s="107" t="s">
        <v>229</v>
      </c>
      <c r="C63" s="113"/>
    </row>
    <row r="64" spans="1:3" s="179" customFormat="1" ht="12.15" customHeight="1" thickBot="1" x14ac:dyDescent="0.3">
      <c r="A64" s="17" t="s">
        <v>23</v>
      </c>
      <c r="B64" s="105" t="s">
        <v>232</v>
      </c>
      <c r="C64" s="110">
        <f>SUM(C65:C67)</f>
        <v>0</v>
      </c>
    </row>
    <row r="65" spans="1:3" s="179" customFormat="1" ht="12.15" customHeight="1" x14ac:dyDescent="0.25">
      <c r="A65" s="12" t="s">
        <v>132</v>
      </c>
      <c r="B65" s="180" t="s">
        <v>234</v>
      </c>
      <c r="C65" s="114"/>
    </row>
    <row r="66" spans="1:3" s="179" customFormat="1" ht="12.15" customHeight="1" x14ac:dyDescent="0.25">
      <c r="A66" s="11" t="s">
        <v>133</v>
      </c>
      <c r="B66" s="181" t="s">
        <v>357</v>
      </c>
      <c r="C66" s="114"/>
    </row>
    <row r="67" spans="1:3" s="179" customFormat="1" ht="12.15" customHeight="1" x14ac:dyDescent="0.25">
      <c r="A67" s="11" t="s">
        <v>158</v>
      </c>
      <c r="B67" s="181" t="s">
        <v>235</v>
      </c>
      <c r="C67" s="114"/>
    </row>
    <row r="68" spans="1:3" s="179" customFormat="1" ht="12.15" customHeight="1" thickBot="1" x14ac:dyDescent="0.3">
      <c r="A68" s="13" t="s">
        <v>233</v>
      </c>
      <c r="B68" s="107" t="s">
        <v>236</v>
      </c>
      <c r="C68" s="114"/>
    </row>
    <row r="69" spans="1:3" s="179" customFormat="1" ht="12.15" customHeight="1" thickBot="1" x14ac:dyDescent="0.3">
      <c r="A69" s="233" t="s">
        <v>390</v>
      </c>
      <c r="B69" s="18" t="s">
        <v>237</v>
      </c>
      <c r="C69" s="115">
        <f>+C11+C20+C27+C34+C41+C53+C59+C64</f>
        <v>100000</v>
      </c>
    </row>
    <row r="70" spans="1:3" s="179" customFormat="1" ht="12.15" customHeight="1" thickBot="1" x14ac:dyDescent="0.3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15" customHeight="1" x14ac:dyDescent="0.25">
      <c r="A71" s="12" t="s">
        <v>270</v>
      </c>
      <c r="B71" s="180" t="s">
        <v>240</v>
      </c>
      <c r="C71" s="114"/>
    </row>
    <row r="72" spans="1:3" s="179" customFormat="1" ht="12.15" customHeight="1" x14ac:dyDescent="0.25">
      <c r="A72" s="11" t="s">
        <v>279</v>
      </c>
      <c r="B72" s="181" t="s">
        <v>241</v>
      </c>
      <c r="C72" s="114"/>
    </row>
    <row r="73" spans="1:3" s="179" customFormat="1" ht="12.15" customHeight="1" thickBot="1" x14ac:dyDescent="0.3">
      <c r="A73" s="13" t="s">
        <v>280</v>
      </c>
      <c r="B73" s="235" t="s">
        <v>391</v>
      </c>
      <c r="C73" s="114"/>
    </row>
    <row r="74" spans="1:3" s="179" customFormat="1" ht="12.15" customHeight="1" thickBot="1" x14ac:dyDescent="0.3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15" customHeight="1" x14ac:dyDescent="0.25">
      <c r="A75" s="12" t="s">
        <v>112</v>
      </c>
      <c r="B75" s="180" t="s">
        <v>245</v>
      </c>
      <c r="C75" s="114"/>
    </row>
    <row r="76" spans="1:3" s="179" customFormat="1" ht="12.15" customHeight="1" x14ac:dyDescent="0.25">
      <c r="A76" s="11" t="s">
        <v>113</v>
      </c>
      <c r="B76" s="181" t="s">
        <v>719</v>
      </c>
      <c r="C76" s="114"/>
    </row>
    <row r="77" spans="1:3" s="179" customFormat="1" ht="12.15" customHeight="1" x14ac:dyDescent="0.25">
      <c r="A77" s="11" t="s">
        <v>271</v>
      </c>
      <c r="B77" s="181" t="s">
        <v>247</v>
      </c>
      <c r="C77" s="114"/>
    </row>
    <row r="78" spans="1:3" s="179" customFormat="1" ht="12.15" customHeight="1" thickBot="1" x14ac:dyDescent="0.3">
      <c r="A78" s="13" t="s">
        <v>272</v>
      </c>
      <c r="B78" s="107" t="s">
        <v>720</v>
      </c>
      <c r="C78" s="114"/>
    </row>
    <row r="79" spans="1:3" s="179" customFormat="1" ht="12.15" customHeight="1" thickBot="1" x14ac:dyDescent="0.3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15" customHeight="1" x14ac:dyDescent="0.25">
      <c r="A80" s="12" t="s">
        <v>273</v>
      </c>
      <c r="B80" s="180" t="s">
        <v>251</v>
      </c>
      <c r="C80" s="114"/>
    </row>
    <row r="81" spans="1:3" s="179" customFormat="1" ht="12.15" customHeight="1" thickBot="1" x14ac:dyDescent="0.3">
      <c r="A81" s="13" t="s">
        <v>274</v>
      </c>
      <c r="B81" s="107" t="s">
        <v>252</v>
      </c>
      <c r="C81" s="114"/>
    </row>
    <row r="82" spans="1:3" s="179" customFormat="1" ht="12.15" customHeight="1" thickBot="1" x14ac:dyDescent="0.3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15" customHeight="1" x14ac:dyDescent="0.25">
      <c r="A83" s="12" t="s">
        <v>275</v>
      </c>
      <c r="B83" s="180" t="s">
        <v>255</v>
      </c>
      <c r="C83" s="114"/>
    </row>
    <row r="84" spans="1:3" s="179" customFormat="1" ht="12.15" customHeight="1" x14ac:dyDescent="0.25">
      <c r="A84" s="11" t="s">
        <v>276</v>
      </c>
      <c r="B84" s="181" t="s">
        <v>256</v>
      </c>
      <c r="C84" s="114"/>
    </row>
    <row r="85" spans="1:3" s="179" customFormat="1" ht="12.15" customHeight="1" thickBot="1" x14ac:dyDescent="0.3">
      <c r="A85" s="13" t="s">
        <v>277</v>
      </c>
      <c r="B85" s="107" t="s">
        <v>721</v>
      </c>
      <c r="C85" s="114"/>
    </row>
    <row r="86" spans="1:3" s="179" customFormat="1" ht="12.15" customHeight="1" thickBot="1" x14ac:dyDescent="0.3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15" customHeight="1" x14ac:dyDescent="0.25">
      <c r="A87" s="184" t="s">
        <v>259</v>
      </c>
      <c r="B87" s="180" t="s">
        <v>260</v>
      </c>
      <c r="C87" s="114"/>
    </row>
    <row r="88" spans="1:3" s="179" customFormat="1" ht="12.15" customHeight="1" x14ac:dyDescent="0.25">
      <c r="A88" s="185" t="s">
        <v>261</v>
      </c>
      <c r="B88" s="181" t="s">
        <v>262</v>
      </c>
      <c r="C88" s="114"/>
    </row>
    <row r="89" spans="1:3" s="179" customFormat="1" ht="12.15" customHeight="1" x14ac:dyDescent="0.25">
      <c r="A89" s="185" t="s">
        <v>263</v>
      </c>
      <c r="B89" s="181" t="s">
        <v>264</v>
      </c>
      <c r="C89" s="114"/>
    </row>
    <row r="90" spans="1:3" s="179" customFormat="1" ht="12.15" customHeight="1" thickBot="1" x14ac:dyDescent="0.3">
      <c r="A90" s="186" t="s">
        <v>265</v>
      </c>
      <c r="B90" s="107" t="s">
        <v>266</v>
      </c>
      <c r="C90" s="114"/>
    </row>
    <row r="91" spans="1:3" s="179" customFormat="1" ht="12.15" customHeight="1" thickBot="1" x14ac:dyDescent="0.3">
      <c r="A91" s="234" t="s">
        <v>267</v>
      </c>
      <c r="B91" s="105" t="s">
        <v>392</v>
      </c>
      <c r="C91" s="215"/>
    </row>
    <row r="92" spans="1:3" s="179" customFormat="1" ht="13.65" customHeight="1" thickBot="1" x14ac:dyDescent="0.3">
      <c r="A92" s="234" t="s">
        <v>269</v>
      </c>
      <c r="B92" s="105" t="s">
        <v>268</v>
      </c>
      <c r="C92" s="215"/>
    </row>
    <row r="93" spans="1:3" s="179" customFormat="1" ht="15.75" customHeight="1" thickBot="1" x14ac:dyDescent="0.3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3">
      <c r="A94" s="236" t="s">
        <v>394</v>
      </c>
      <c r="B94" s="188" t="s">
        <v>395</v>
      </c>
      <c r="C94" s="115">
        <f>+C69+C93</f>
        <v>100000</v>
      </c>
    </row>
    <row r="95" spans="1:3" s="179" customFormat="1" ht="54" customHeight="1" x14ac:dyDescent="0.25">
      <c r="A95" s="2"/>
      <c r="B95" s="3"/>
      <c r="C95" s="116"/>
    </row>
    <row r="96" spans="1:3" ht="16.5" customHeight="1" x14ac:dyDescent="0.3">
      <c r="A96" s="1283" t="s">
        <v>44</v>
      </c>
      <c r="B96" s="1283"/>
      <c r="C96" s="1283"/>
    </row>
    <row r="97" spans="1:3" ht="16.5" customHeight="1" thickBot="1" x14ac:dyDescent="0.35">
      <c r="A97" s="1284" t="s">
        <v>115</v>
      </c>
      <c r="B97" s="1284"/>
      <c r="C97" s="56" t="s">
        <v>483</v>
      </c>
    </row>
    <row r="98" spans="1:3" ht="38.1" customHeight="1" thickBot="1" x14ac:dyDescent="0.35">
      <c r="A98" s="20" t="s">
        <v>63</v>
      </c>
      <c r="B98" s="21" t="s">
        <v>45</v>
      </c>
      <c r="C98" s="29" t="str">
        <f>+C9</f>
        <v>2024. évi előirányzat</v>
      </c>
    </row>
    <row r="99" spans="1:3" s="178" customFormat="1" ht="12.15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15" customHeight="1" thickBot="1" x14ac:dyDescent="0.35">
      <c r="A100" s="19" t="s">
        <v>16</v>
      </c>
      <c r="B100" s="23" t="s">
        <v>433</v>
      </c>
      <c r="C100" s="109">
        <f>C101+C102+C103+C104+C105+C118</f>
        <v>332788683</v>
      </c>
    </row>
    <row r="101" spans="1:3" ht="12.15" customHeight="1" x14ac:dyDescent="0.3">
      <c r="A101" s="14" t="s">
        <v>85</v>
      </c>
      <c r="B101" s="7" t="s">
        <v>46</v>
      </c>
      <c r="C101" s="251">
        <v>233396731</v>
      </c>
    </row>
    <row r="102" spans="1:3" ht="12.15" customHeight="1" x14ac:dyDescent="0.3">
      <c r="A102" s="11" t="s">
        <v>86</v>
      </c>
      <c r="B102" s="5" t="s">
        <v>134</v>
      </c>
      <c r="C102" s="114">
        <v>36476750</v>
      </c>
    </row>
    <row r="103" spans="1:3" ht="12.15" customHeight="1" x14ac:dyDescent="0.3">
      <c r="A103" s="11" t="s">
        <v>87</v>
      </c>
      <c r="B103" s="5" t="s">
        <v>110</v>
      </c>
      <c r="C103" s="1250">
        <f>51897532+11017670</f>
        <v>62915202</v>
      </c>
    </row>
    <row r="104" spans="1:3" ht="12.15" customHeight="1" x14ac:dyDescent="0.3">
      <c r="A104" s="11" t="s">
        <v>88</v>
      </c>
      <c r="B104" s="8" t="s">
        <v>135</v>
      </c>
      <c r="C104" s="170"/>
    </row>
    <row r="105" spans="1:3" ht="12.15" customHeight="1" x14ac:dyDescent="0.3">
      <c r="A105" s="11" t="s">
        <v>99</v>
      </c>
      <c r="B105" s="16" t="s">
        <v>136</v>
      </c>
      <c r="C105" s="114">
        <f>SUM(C106:C117)</f>
        <v>0</v>
      </c>
    </row>
    <row r="106" spans="1:3" ht="12.15" customHeight="1" x14ac:dyDescent="0.3">
      <c r="A106" s="11" t="s">
        <v>89</v>
      </c>
      <c r="B106" s="5" t="s">
        <v>396</v>
      </c>
      <c r="C106" s="249"/>
    </row>
    <row r="107" spans="1:3" ht="12.15" customHeight="1" x14ac:dyDescent="0.3">
      <c r="A107" s="11" t="s">
        <v>90</v>
      </c>
      <c r="B107" s="60" t="s">
        <v>397</v>
      </c>
      <c r="C107" s="249"/>
    </row>
    <row r="108" spans="1:3" ht="12.15" customHeight="1" x14ac:dyDescent="0.3">
      <c r="A108" s="11" t="s">
        <v>100</v>
      </c>
      <c r="B108" s="60" t="s">
        <v>398</v>
      </c>
      <c r="C108" s="249"/>
    </row>
    <row r="109" spans="1:3" ht="12.15" customHeight="1" x14ac:dyDescent="0.3">
      <c r="A109" s="11" t="s">
        <v>101</v>
      </c>
      <c r="B109" s="58" t="s">
        <v>284</v>
      </c>
      <c r="C109" s="249"/>
    </row>
    <row r="110" spans="1:3" ht="12.15" customHeight="1" x14ac:dyDescent="0.3">
      <c r="A110" s="11" t="s">
        <v>102</v>
      </c>
      <c r="B110" s="59" t="s">
        <v>285</v>
      </c>
      <c r="C110" s="249"/>
    </row>
    <row r="111" spans="1:3" ht="12.15" customHeight="1" x14ac:dyDescent="0.3">
      <c r="A111" s="11" t="s">
        <v>103</v>
      </c>
      <c r="B111" s="59" t="s">
        <v>286</v>
      </c>
      <c r="C111" s="249"/>
    </row>
    <row r="112" spans="1:3" ht="12.15" customHeight="1" x14ac:dyDescent="0.3">
      <c r="A112" s="11" t="s">
        <v>105</v>
      </c>
      <c r="B112" s="58" t="s">
        <v>287</v>
      </c>
      <c r="C112" s="249"/>
    </row>
    <row r="113" spans="1:3" ht="12.15" customHeight="1" x14ac:dyDescent="0.3">
      <c r="A113" s="11" t="s">
        <v>137</v>
      </c>
      <c r="B113" s="58" t="s">
        <v>288</v>
      </c>
      <c r="C113" s="249"/>
    </row>
    <row r="114" spans="1:3" ht="12.15" customHeight="1" x14ac:dyDescent="0.3">
      <c r="A114" s="11" t="s">
        <v>282</v>
      </c>
      <c r="B114" s="59" t="s">
        <v>289</v>
      </c>
      <c r="C114" s="249"/>
    </row>
    <row r="115" spans="1:3" ht="12.15" customHeight="1" x14ac:dyDescent="0.3">
      <c r="A115" s="10" t="s">
        <v>283</v>
      </c>
      <c r="B115" s="60" t="s">
        <v>290</v>
      </c>
      <c r="C115" s="249"/>
    </row>
    <row r="116" spans="1:3" ht="12.15" customHeight="1" x14ac:dyDescent="0.3">
      <c r="A116" s="11" t="s">
        <v>399</v>
      </c>
      <c r="B116" s="60" t="s">
        <v>291</v>
      </c>
      <c r="C116" s="249"/>
    </row>
    <row r="117" spans="1:3" ht="12.15" customHeight="1" x14ac:dyDescent="0.3">
      <c r="A117" s="13" t="s">
        <v>400</v>
      </c>
      <c r="B117" s="60" t="s">
        <v>292</v>
      </c>
      <c r="C117" s="246"/>
    </row>
    <row r="118" spans="1:3" ht="12.15" customHeight="1" x14ac:dyDescent="0.3">
      <c r="A118" s="11" t="s">
        <v>401</v>
      </c>
      <c r="B118" s="8" t="s">
        <v>47</v>
      </c>
      <c r="C118" s="114">
        <f>C119+C120</f>
        <v>0</v>
      </c>
    </row>
    <row r="119" spans="1:3" ht="12.15" customHeight="1" x14ac:dyDescent="0.3">
      <c r="A119" s="11" t="s">
        <v>402</v>
      </c>
      <c r="B119" s="5" t="s">
        <v>403</v>
      </c>
      <c r="C119" s="111"/>
    </row>
    <row r="120" spans="1:3" ht="12.15" customHeight="1" thickBot="1" x14ac:dyDescent="0.35">
      <c r="A120" s="15" t="s">
        <v>404</v>
      </c>
      <c r="B120" s="237" t="s">
        <v>405</v>
      </c>
      <c r="C120" s="117"/>
    </row>
    <row r="121" spans="1:3" ht="12.15" customHeight="1" thickBot="1" x14ac:dyDescent="0.35">
      <c r="A121" s="238" t="s">
        <v>17</v>
      </c>
      <c r="B121" s="239" t="s">
        <v>293</v>
      </c>
      <c r="C121" s="240">
        <f>+C122+C124+C126</f>
        <v>5722998</v>
      </c>
    </row>
    <row r="122" spans="1:3" ht="12.15" customHeight="1" x14ac:dyDescent="0.3">
      <c r="A122" s="12" t="s">
        <v>91</v>
      </c>
      <c r="B122" s="5" t="s">
        <v>157</v>
      </c>
      <c r="C122" s="214">
        <v>5722998</v>
      </c>
    </row>
    <row r="123" spans="1:3" ht="12.15" customHeight="1" x14ac:dyDescent="0.3">
      <c r="A123" s="12" t="s">
        <v>92</v>
      </c>
      <c r="B123" s="9" t="s">
        <v>297</v>
      </c>
      <c r="C123" s="214"/>
    </row>
    <row r="124" spans="1:3" ht="12.15" customHeight="1" x14ac:dyDescent="0.3">
      <c r="A124" s="12" t="s">
        <v>93</v>
      </c>
      <c r="B124" s="9" t="s">
        <v>138</v>
      </c>
      <c r="C124" s="114"/>
    </row>
    <row r="125" spans="1:3" ht="12.15" customHeight="1" x14ac:dyDescent="0.3">
      <c r="A125" s="12" t="s">
        <v>94</v>
      </c>
      <c r="B125" s="9" t="s">
        <v>298</v>
      </c>
      <c r="C125" s="246"/>
    </row>
    <row r="126" spans="1:3" ht="12.15" customHeight="1" x14ac:dyDescent="0.3">
      <c r="A126" s="12" t="s">
        <v>95</v>
      </c>
      <c r="B126" s="107" t="s">
        <v>159</v>
      </c>
      <c r="C126" s="246">
        <f>SUM(C127:C134)</f>
        <v>0</v>
      </c>
    </row>
    <row r="127" spans="1:3" ht="12.15" customHeight="1" x14ac:dyDescent="0.3">
      <c r="A127" s="12" t="s">
        <v>104</v>
      </c>
      <c r="B127" s="106" t="s">
        <v>358</v>
      </c>
      <c r="C127" s="246"/>
    </row>
    <row r="128" spans="1:3" ht="12.15" customHeight="1" x14ac:dyDescent="0.3">
      <c r="A128" s="12" t="s">
        <v>106</v>
      </c>
      <c r="B128" s="177" t="s">
        <v>303</v>
      </c>
      <c r="C128" s="246"/>
    </row>
    <row r="129" spans="1:3" x14ac:dyDescent="0.3">
      <c r="A129" s="12" t="s">
        <v>139</v>
      </c>
      <c r="B129" s="59" t="s">
        <v>286</v>
      </c>
      <c r="C129" s="246"/>
    </row>
    <row r="130" spans="1:3" ht="12.15" customHeight="1" x14ac:dyDescent="0.3">
      <c r="A130" s="12" t="s">
        <v>140</v>
      </c>
      <c r="B130" s="59" t="s">
        <v>302</v>
      </c>
      <c r="C130" s="246"/>
    </row>
    <row r="131" spans="1:3" ht="12.15" customHeight="1" x14ac:dyDescent="0.3">
      <c r="A131" s="12" t="s">
        <v>141</v>
      </c>
      <c r="B131" s="59" t="s">
        <v>301</v>
      </c>
      <c r="C131" s="246"/>
    </row>
    <row r="132" spans="1:3" ht="12.15" customHeight="1" x14ac:dyDescent="0.3">
      <c r="A132" s="12" t="s">
        <v>294</v>
      </c>
      <c r="B132" s="59" t="s">
        <v>289</v>
      </c>
      <c r="C132" s="246"/>
    </row>
    <row r="133" spans="1:3" ht="12.15" customHeight="1" x14ac:dyDescent="0.3">
      <c r="A133" s="12" t="s">
        <v>295</v>
      </c>
      <c r="B133" s="59" t="s">
        <v>300</v>
      </c>
      <c r="C133" s="246"/>
    </row>
    <row r="134" spans="1:3" ht="16.2" thickBot="1" x14ac:dyDescent="0.35">
      <c r="A134" s="10" t="s">
        <v>296</v>
      </c>
      <c r="B134" s="59" t="s">
        <v>299</v>
      </c>
      <c r="C134" s="249"/>
    </row>
    <row r="135" spans="1:3" ht="12.15" customHeight="1" thickBot="1" x14ac:dyDescent="0.35">
      <c r="A135" s="17" t="s">
        <v>18</v>
      </c>
      <c r="B135" s="54" t="s">
        <v>406</v>
      </c>
      <c r="C135" s="110">
        <f>+C100+C121</f>
        <v>338511681</v>
      </c>
    </row>
    <row r="136" spans="1:3" ht="12.15" customHeight="1" thickBot="1" x14ac:dyDescent="0.35">
      <c r="A136" s="17" t="s">
        <v>19</v>
      </c>
      <c r="B136" s="54" t="s">
        <v>407</v>
      </c>
      <c r="C136" s="110">
        <f>+C137+C138+C139</f>
        <v>0</v>
      </c>
    </row>
    <row r="137" spans="1:3" ht="12.15" customHeight="1" x14ac:dyDescent="0.3">
      <c r="A137" s="12" t="s">
        <v>195</v>
      </c>
      <c r="B137" s="9" t="s">
        <v>408</v>
      </c>
      <c r="C137" s="99"/>
    </row>
    <row r="138" spans="1:3" ht="12.15" customHeight="1" x14ac:dyDescent="0.3">
      <c r="A138" s="12" t="s">
        <v>198</v>
      </c>
      <c r="B138" s="9" t="s">
        <v>409</v>
      </c>
      <c r="C138" s="99"/>
    </row>
    <row r="139" spans="1:3" ht="12.15" customHeight="1" thickBot="1" x14ac:dyDescent="0.35">
      <c r="A139" s="10" t="s">
        <v>199</v>
      </c>
      <c r="B139" s="9" t="s">
        <v>410</v>
      </c>
      <c r="C139" s="99"/>
    </row>
    <row r="140" spans="1:3" ht="12.15" customHeight="1" thickBot="1" x14ac:dyDescent="0.35">
      <c r="A140" s="17" t="s">
        <v>20</v>
      </c>
      <c r="B140" s="54" t="s">
        <v>411</v>
      </c>
      <c r="C140" s="110">
        <f>SUM(C141:C146)</f>
        <v>0</v>
      </c>
    </row>
    <row r="141" spans="1:3" ht="12.15" customHeight="1" x14ac:dyDescent="0.3">
      <c r="A141" s="12" t="s">
        <v>78</v>
      </c>
      <c r="B141" s="6" t="s">
        <v>412</v>
      </c>
      <c r="C141" s="99"/>
    </row>
    <row r="142" spans="1:3" ht="12.15" customHeight="1" x14ac:dyDescent="0.3">
      <c r="A142" s="12" t="s">
        <v>79</v>
      </c>
      <c r="B142" s="6" t="s">
        <v>413</v>
      </c>
      <c r="C142" s="99"/>
    </row>
    <row r="143" spans="1:3" ht="12.15" customHeight="1" x14ac:dyDescent="0.3">
      <c r="A143" s="12" t="s">
        <v>80</v>
      </c>
      <c r="B143" s="6" t="s">
        <v>414</v>
      </c>
      <c r="C143" s="99"/>
    </row>
    <row r="144" spans="1:3" ht="12.15" customHeight="1" x14ac:dyDescent="0.3">
      <c r="A144" s="12" t="s">
        <v>126</v>
      </c>
      <c r="B144" s="6" t="s">
        <v>415</v>
      </c>
      <c r="C144" s="99"/>
    </row>
    <row r="145" spans="1:6" ht="12.15" customHeight="1" x14ac:dyDescent="0.3">
      <c r="A145" s="12" t="s">
        <v>127</v>
      </c>
      <c r="B145" s="6" t="s">
        <v>416</v>
      </c>
      <c r="C145" s="99"/>
    </row>
    <row r="146" spans="1:6" ht="12.15" customHeight="1" thickBot="1" x14ac:dyDescent="0.35">
      <c r="A146" s="10" t="s">
        <v>128</v>
      </c>
      <c r="B146" s="6" t="s">
        <v>417</v>
      </c>
      <c r="C146" s="99"/>
    </row>
    <row r="147" spans="1:6" ht="12.15" customHeight="1" thickBot="1" x14ac:dyDescent="0.35">
      <c r="A147" s="17" t="s">
        <v>21</v>
      </c>
      <c r="B147" s="54" t="s">
        <v>418</v>
      </c>
      <c r="C147" s="115">
        <f>+C148+C149+C150+C151</f>
        <v>0</v>
      </c>
    </row>
    <row r="148" spans="1:6" ht="12.15" customHeight="1" x14ac:dyDescent="0.3">
      <c r="A148" s="12" t="s">
        <v>81</v>
      </c>
      <c r="B148" s="6" t="s">
        <v>304</v>
      </c>
      <c r="C148" s="99"/>
    </row>
    <row r="149" spans="1:6" ht="12.15" customHeight="1" x14ac:dyDescent="0.3">
      <c r="A149" s="12" t="s">
        <v>82</v>
      </c>
      <c r="B149" s="6" t="s">
        <v>305</v>
      </c>
      <c r="C149" s="99"/>
    </row>
    <row r="150" spans="1:6" ht="12.15" customHeight="1" x14ac:dyDescent="0.3">
      <c r="A150" s="12" t="s">
        <v>218</v>
      </c>
      <c r="B150" s="6" t="s">
        <v>419</v>
      </c>
      <c r="C150" s="99"/>
    </row>
    <row r="151" spans="1:6" ht="12.15" customHeight="1" thickBot="1" x14ac:dyDescent="0.35">
      <c r="A151" s="10" t="s">
        <v>219</v>
      </c>
      <c r="B151" s="4" t="s">
        <v>323</v>
      </c>
      <c r="C151" s="99"/>
    </row>
    <row r="152" spans="1:6" ht="12.15" customHeight="1" thickBot="1" x14ac:dyDescent="0.35">
      <c r="A152" s="17" t="s">
        <v>22</v>
      </c>
      <c r="B152" s="54" t="s">
        <v>420</v>
      </c>
      <c r="C152" s="118">
        <f>SUM(C153:C157)</f>
        <v>0</v>
      </c>
    </row>
    <row r="153" spans="1:6" ht="12.15" customHeight="1" x14ac:dyDescent="0.3">
      <c r="A153" s="12" t="s">
        <v>83</v>
      </c>
      <c r="B153" s="6" t="s">
        <v>421</v>
      </c>
      <c r="C153" s="99"/>
    </row>
    <row r="154" spans="1:6" ht="12.15" customHeight="1" x14ac:dyDescent="0.3">
      <c r="A154" s="12" t="s">
        <v>84</v>
      </c>
      <c r="B154" s="6" t="s">
        <v>422</v>
      </c>
      <c r="C154" s="99"/>
    </row>
    <row r="155" spans="1:6" ht="12.15" customHeight="1" x14ac:dyDescent="0.3">
      <c r="A155" s="12" t="s">
        <v>230</v>
      </c>
      <c r="B155" s="6" t="s">
        <v>423</v>
      </c>
      <c r="C155" s="99"/>
    </row>
    <row r="156" spans="1:6" ht="12.15" customHeight="1" x14ac:dyDescent="0.3">
      <c r="A156" s="12" t="s">
        <v>231</v>
      </c>
      <c r="B156" s="6" t="s">
        <v>424</v>
      </c>
      <c r="C156" s="99"/>
    </row>
    <row r="157" spans="1:6" ht="12.15" customHeight="1" thickBot="1" x14ac:dyDescent="0.35">
      <c r="A157" s="12" t="s">
        <v>425</v>
      </c>
      <c r="B157" s="6" t="s">
        <v>426</v>
      </c>
      <c r="C157" s="99"/>
    </row>
    <row r="158" spans="1:6" ht="12.15" customHeight="1" thickBot="1" x14ac:dyDescent="0.35">
      <c r="A158" s="17" t="s">
        <v>23</v>
      </c>
      <c r="B158" s="54" t="s">
        <v>427</v>
      </c>
      <c r="C158" s="241"/>
    </row>
    <row r="159" spans="1:6" ht="12.15" customHeight="1" thickBot="1" x14ac:dyDescent="0.35">
      <c r="A159" s="17" t="s">
        <v>24</v>
      </c>
      <c r="B159" s="54" t="s">
        <v>428</v>
      </c>
      <c r="C159" s="241"/>
    </row>
    <row r="160" spans="1:6" ht="15" customHeight="1" thickBot="1" x14ac:dyDescent="0.35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" customHeight="1" thickBot="1" x14ac:dyDescent="0.3">
      <c r="A161" s="108" t="s">
        <v>26</v>
      </c>
      <c r="B161" s="166" t="s">
        <v>430</v>
      </c>
      <c r="C161" s="189">
        <f>+C135+C160</f>
        <v>338511681</v>
      </c>
    </row>
    <row r="162" spans="1:3" ht="7.5" customHeight="1" x14ac:dyDescent="0.3"/>
    <row r="163" spans="1:3" x14ac:dyDescent="0.3">
      <c r="A163" s="1279" t="s">
        <v>306</v>
      </c>
      <c r="B163" s="1279"/>
      <c r="C163" s="1279"/>
    </row>
    <row r="164" spans="1:3" ht="15" customHeight="1" thickBot="1" x14ac:dyDescent="0.35">
      <c r="A164" s="1282" t="s">
        <v>116</v>
      </c>
      <c r="B164" s="1282"/>
      <c r="C164" s="119" t="s">
        <v>483</v>
      </c>
    </row>
    <row r="165" spans="1:3" ht="13.65" customHeight="1" thickBot="1" x14ac:dyDescent="0.35">
      <c r="A165" s="17">
        <v>1</v>
      </c>
      <c r="B165" s="22" t="s">
        <v>431</v>
      </c>
      <c r="C165" s="110">
        <f>+C69-C135</f>
        <v>-338411681</v>
      </c>
    </row>
    <row r="166" spans="1:3" ht="16.2" thickBot="1" x14ac:dyDescent="0.35">
      <c r="A166" s="17" t="s">
        <v>17</v>
      </c>
      <c r="B166" s="22" t="s">
        <v>692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topLeftCell="A133" zoomScale="115" zoomScaleNormal="115" zoomScaleSheetLayoutView="100" workbookViewId="0">
      <selection activeCell="C2" sqref="C1:J1048576"/>
    </sheetView>
  </sheetViews>
  <sheetFormatPr defaultColWidth="9.33203125" defaultRowHeight="15.6" x14ac:dyDescent="0.3"/>
  <cols>
    <col min="1" max="1" width="9.4414062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3">
      <c r="A1" s="1281" t="str">
        <f>CONCATENATE("5. melléklet"," ",ALAPADATOK!A7," ",ALAPADATOK!B7," ",ALAPADATOK!C7," ",ALAPADATOK!D7," ",ALAPADATOK!E7," ",ALAPADATOK!F7," ",ALAPADATOK!G7," ",ALAPADATOK!H7)</f>
        <v>5. melléklet a …. / 2024. ( .... ) önkormányzati rendelethez</v>
      </c>
      <c r="B1" s="1281"/>
      <c r="C1" s="1281"/>
    </row>
    <row r="2" spans="1:3" x14ac:dyDescent="0.3">
      <c r="A2" s="583"/>
      <c r="B2" s="583"/>
      <c r="C2" s="583"/>
    </row>
    <row r="3" spans="1:3" x14ac:dyDescent="0.3">
      <c r="A3" s="1280" t="str">
        <f>CONCATENATE(ALAPADATOK!A3)</f>
        <v>Tiszavasvári Város Önkormányzat</v>
      </c>
      <c r="B3" s="1280"/>
      <c r="C3" s="1280"/>
    </row>
    <row r="4" spans="1:3" x14ac:dyDescent="0.3">
      <c r="A4" s="1279" t="str">
        <f>CONCATENATE(ALAPADATOK!D7," ÉVI KÖLTSÉGVETÉS")</f>
        <v>2024. ÉVI KÖLTSÉGVETÉS</v>
      </c>
      <c r="B4" s="1279"/>
      <c r="C4" s="1279"/>
    </row>
    <row r="5" spans="1:3" x14ac:dyDescent="0.3">
      <c r="A5" s="1279" t="s">
        <v>660</v>
      </c>
      <c r="B5" s="1279"/>
      <c r="C5" s="1279"/>
    </row>
    <row r="6" spans="1:3" x14ac:dyDescent="0.3">
      <c r="C6" s="168" t="s">
        <v>818</v>
      </c>
    </row>
    <row r="7" spans="1:3" ht="15.9" customHeight="1" x14ac:dyDescent="0.3">
      <c r="A7" s="1283" t="s">
        <v>13</v>
      </c>
      <c r="B7" s="1283"/>
      <c r="C7" s="1283"/>
    </row>
    <row r="8" spans="1:3" ht="15.9" customHeight="1" thickBot="1" x14ac:dyDescent="0.35">
      <c r="A8" s="1282" t="s">
        <v>114</v>
      </c>
      <c r="B8" s="1282"/>
      <c r="C8" s="119" t="s">
        <v>483</v>
      </c>
    </row>
    <row r="9" spans="1:3" ht="38.1" customHeight="1" thickBot="1" x14ac:dyDescent="0.35">
      <c r="A9" s="20" t="s">
        <v>63</v>
      </c>
      <c r="B9" s="21" t="s">
        <v>15</v>
      </c>
      <c r="C9" s="29" t="s">
        <v>1010</v>
      </c>
    </row>
    <row r="10" spans="1:3" s="178" customFormat="1" ht="12.15" customHeight="1" thickBot="1" x14ac:dyDescent="0.25">
      <c r="A10" s="173" t="s">
        <v>382</v>
      </c>
      <c r="B10" s="174" t="s">
        <v>383</v>
      </c>
      <c r="C10" s="175" t="s">
        <v>384</v>
      </c>
    </row>
    <row r="11" spans="1:3" s="179" customFormat="1" ht="12.15" customHeight="1" thickBot="1" x14ac:dyDescent="0.3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.15" customHeight="1" x14ac:dyDescent="0.25">
      <c r="A12" s="12" t="s">
        <v>85</v>
      </c>
      <c r="B12" s="180" t="s">
        <v>180</v>
      </c>
      <c r="C12" s="112"/>
    </row>
    <row r="13" spans="1:3" s="179" customFormat="1" ht="12.15" customHeight="1" x14ac:dyDescent="0.25">
      <c r="A13" s="11" t="s">
        <v>86</v>
      </c>
      <c r="B13" s="181" t="s">
        <v>181</v>
      </c>
      <c r="C13" s="111"/>
    </row>
    <row r="14" spans="1:3" s="179" customFormat="1" ht="12.15" customHeight="1" x14ac:dyDescent="0.25">
      <c r="A14" s="11" t="s">
        <v>87</v>
      </c>
      <c r="B14" s="181" t="s">
        <v>696</v>
      </c>
      <c r="C14" s="111"/>
    </row>
    <row r="15" spans="1:3" s="179" customFormat="1" ht="12.15" customHeight="1" x14ac:dyDescent="0.25">
      <c r="A15" s="11" t="s">
        <v>694</v>
      </c>
      <c r="B15" s="181" t="s">
        <v>697</v>
      </c>
      <c r="C15" s="111"/>
    </row>
    <row r="16" spans="1:3" s="179" customFormat="1" ht="12.15" customHeight="1" x14ac:dyDescent="0.25">
      <c r="A16" s="11" t="s">
        <v>695</v>
      </c>
      <c r="B16" s="181" t="s">
        <v>698</v>
      </c>
      <c r="C16" s="111"/>
    </row>
    <row r="17" spans="1:3" s="179" customFormat="1" ht="12.15" customHeight="1" x14ac:dyDescent="0.25">
      <c r="A17" s="11" t="s">
        <v>88</v>
      </c>
      <c r="B17" s="181" t="s">
        <v>183</v>
      </c>
      <c r="C17" s="111"/>
    </row>
    <row r="18" spans="1:3" s="179" customFormat="1" ht="12.15" customHeight="1" x14ac:dyDescent="0.25">
      <c r="A18" s="11" t="s">
        <v>111</v>
      </c>
      <c r="B18" s="106" t="s">
        <v>385</v>
      </c>
      <c r="C18" s="111"/>
    </row>
    <row r="19" spans="1:3" s="179" customFormat="1" ht="12.15" customHeight="1" thickBot="1" x14ac:dyDescent="0.3">
      <c r="A19" s="13" t="s">
        <v>89</v>
      </c>
      <c r="B19" s="107" t="s">
        <v>386</v>
      </c>
      <c r="C19" s="111"/>
    </row>
    <row r="20" spans="1:3" s="179" customFormat="1" ht="12.15" customHeight="1" thickBot="1" x14ac:dyDescent="0.3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.15" customHeight="1" x14ac:dyDescent="0.25">
      <c r="A21" s="12" t="s">
        <v>91</v>
      </c>
      <c r="B21" s="180" t="s">
        <v>185</v>
      </c>
      <c r="C21" s="112"/>
    </row>
    <row r="22" spans="1:3" s="179" customFormat="1" ht="12.15" customHeight="1" x14ac:dyDescent="0.25">
      <c r="A22" s="11" t="s">
        <v>92</v>
      </c>
      <c r="B22" s="181" t="s">
        <v>186</v>
      </c>
      <c r="C22" s="111"/>
    </row>
    <row r="23" spans="1:3" s="179" customFormat="1" ht="12.15" customHeight="1" x14ac:dyDescent="0.25">
      <c r="A23" s="11" t="s">
        <v>93</v>
      </c>
      <c r="B23" s="181" t="s">
        <v>352</v>
      </c>
      <c r="C23" s="111"/>
    </row>
    <row r="24" spans="1:3" s="179" customFormat="1" ht="12.15" customHeight="1" x14ac:dyDescent="0.25">
      <c r="A24" s="11" t="s">
        <v>94</v>
      </c>
      <c r="B24" s="181" t="s">
        <v>353</v>
      </c>
      <c r="C24" s="111"/>
    </row>
    <row r="25" spans="1:3" s="179" customFormat="1" ht="12.15" customHeight="1" x14ac:dyDescent="0.25">
      <c r="A25" s="11" t="s">
        <v>95</v>
      </c>
      <c r="B25" s="181" t="s">
        <v>187</v>
      </c>
      <c r="C25" s="111"/>
    </row>
    <row r="26" spans="1:3" s="179" customFormat="1" ht="12.15" customHeight="1" thickBot="1" x14ac:dyDescent="0.3">
      <c r="A26" s="13" t="s">
        <v>104</v>
      </c>
      <c r="B26" s="107" t="s">
        <v>188</v>
      </c>
      <c r="C26" s="113"/>
    </row>
    <row r="27" spans="1:3" s="179" customFormat="1" ht="12.15" customHeight="1" thickBot="1" x14ac:dyDescent="0.3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.15" customHeight="1" x14ac:dyDescent="0.25">
      <c r="A28" s="12" t="s">
        <v>74</v>
      </c>
      <c r="B28" s="180" t="s">
        <v>190</v>
      </c>
      <c r="C28" s="112"/>
    </row>
    <row r="29" spans="1:3" s="179" customFormat="1" ht="12.15" customHeight="1" x14ac:dyDescent="0.25">
      <c r="A29" s="11" t="s">
        <v>75</v>
      </c>
      <c r="B29" s="181" t="s">
        <v>191</v>
      </c>
      <c r="C29" s="111"/>
    </row>
    <row r="30" spans="1:3" s="179" customFormat="1" ht="12.15" customHeight="1" x14ac:dyDescent="0.25">
      <c r="A30" s="11" t="s">
        <v>76</v>
      </c>
      <c r="B30" s="181" t="s">
        <v>354</v>
      </c>
      <c r="C30" s="111"/>
    </row>
    <row r="31" spans="1:3" s="179" customFormat="1" ht="12.15" customHeight="1" x14ac:dyDescent="0.25">
      <c r="A31" s="11" t="s">
        <v>77</v>
      </c>
      <c r="B31" s="181" t="s">
        <v>355</v>
      </c>
      <c r="C31" s="111"/>
    </row>
    <row r="32" spans="1:3" s="179" customFormat="1" ht="12.15" customHeight="1" x14ac:dyDescent="0.25">
      <c r="A32" s="11" t="s">
        <v>122</v>
      </c>
      <c r="B32" s="181" t="s">
        <v>192</v>
      </c>
      <c r="C32" s="111"/>
    </row>
    <row r="33" spans="1:3" s="179" customFormat="1" ht="12.15" customHeight="1" thickBot="1" x14ac:dyDescent="0.3">
      <c r="A33" s="13" t="s">
        <v>123</v>
      </c>
      <c r="B33" s="182" t="s">
        <v>193</v>
      </c>
      <c r="C33" s="113"/>
    </row>
    <row r="34" spans="1:3" s="179" customFormat="1" ht="12.15" customHeight="1" thickBot="1" x14ac:dyDescent="0.3">
      <c r="A34" s="17" t="s">
        <v>124</v>
      </c>
      <c r="B34" s="18" t="s">
        <v>194</v>
      </c>
      <c r="C34" s="115">
        <f>+C35+C39+C40</f>
        <v>0</v>
      </c>
    </row>
    <row r="35" spans="1:3" s="179" customFormat="1" ht="12.15" customHeight="1" x14ac:dyDescent="0.25">
      <c r="A35" s="12" t="s">
        <v>195</v>
      </c>
      <c r="B35" s="180" t="s">
        <v>553</v>
      </c>
      <c r="C35" s="176">
        <f>C36+C37</f>
        <v>0</v>
      </c>
    </row>
    <row r="36" spans="1:3" s="179" customFormat="1" ht="12.15" customHeight="1" x14ac:dyDescent="0.25">
      <c r="A36" s="11" t="s">
        <v>196</v>
      </c>
      <c r="B36" s="181" t="s">
        <v>201</v>
      </c>
      <c r="C36" s="111"/>
    </row>
    <row r="37" spans="1:3" s="179" customFormat="1" ht="12.15" customHeight="1" x14ac:dyDescent="0.25">
      <c r="A37" s="11" t="s">
        <v>197</v>
      </c>
      <c r="B37" s="232" t="s">
        <v>552</v>
      </c>
      <c r="C37" s="111"/>
    </row>
    <row r="38" spans="1:3" s="179" customFormat="1" ht="12.15" customHeight="1" x14ac:dyDescent="0.25">
      <c r="A38" s="11" t="s">
        <v>198</v>
      </c>
      <c r="B38" s="181" t="s">
        <v>469</v>
      </c>
      <c r="C38" s="111"/>
    </row>
    <row r="39" spans="1:3" s="179" customFormat="1" ht="12.15" customHeight="1" x14ac:dyDescent="0.25">
      <c r="A39" s="11" t="s">
        <v>200</v>
      </c>
      <c r="B39" s="181" t="s">
        <v>203</v>
      </c>
      <c r="C39" s="111"/>
    </row>
    <row r="40" spans="1:3" s="179" customFormat="1" ht="12.15" customHeight="1" thickBot="1" x14ac:dyDescent="0.3">
      <c r="A40" s="13" t="s">
        <v>471</v>
      </c>
      <c r="B40" s="182" t="s">
        <v>204</v>
      </c>
      <c r="C40" s="113"/>
    </row>
    <row r="41" spans="1:3" s="179" customFormat="1" ht="12.15" customHeight="1" thickBot="1" x14ac:dyDescent="0.3">
      <c r="A41" s="17" t="s">
        <v>20</v>
      </c>
      <c r="B41" s="18" t="s">
        <v>387</v>
      </c>
      <c r="C41" s="110">
        <f>SUM(C42:C52)</f>
        <v>0</v>
      </c>
    </row>
    <row r="42" spans="1:3" s="179" customFormat="1" ht="12.15" customHeight="1" x14ac:dyDescent="0.25">
      <c r="A42" s="12" t="s">
        <v>78</v>
      </c>
      <c r="B42" s="180" t="s">
        <v>207</v>
      </c>
      <c r="C42" s="112"/>
    </row>
    <row r="43" spans="1:3" s="179" customFormat="1" ht="12.15" customHeight="1" x14ac:dyDescent="0.25">
      <c r="A43" s="11" t="s">
        <v>79</v>
      </c>
      <c r="B43" s="181" t="s">
        <v>208</v>
      </c>
      <c r="C43" s="114"/>
    </row>
    <row r="44" spans="1:3" s="179" customFormat="1" ht="12.15" customHeight="1" x14ac:dyDescent="0.25">
      <c r="A44" s="11" t="s">
        <v>80</v>
      </c>
      <c r="B44" s="181" t="s">
        <v>209</v>
      </c>
      <c r="C44" s="114"/>
    </row>
    <row r="45" spans="1:3" s="179" customFormat="1" ht="12.15" customHeight="1" x14ac:dyDescent="0.25">
      <c r="A45" s="11" t="s">
        <v>126</v>
      </c>
      <c r="B45" s="181" t="s">
        <v>210</v>
      </c>
      <c r="C45" s="114"/>
    </row>
    <row r="46" spans="1:3" s="179" customFormat="1" ht="12.15" customHeight="1" x14ac:dyDescent="0.25">
      <c r="A46" s="11" t="s">
        <v>127</v>
      </c>
      <c r="B46" s="181" t="s">
        <v>211</v>
      </c>
      <c r="C46" s="114"/>
    </row>
    <row r="47" spans="1:3" s="179" customFormat="1" ht="12.15" customHeight="1" x14ac:dyDescent="0.25">
      <c r="A47" s="11" t="s">
        <v>128</v>
      </c>
      <c r="B47" s="181" t="s">
        <v>212</v>
      </c>
      <c r="C47" s="114"/>
    </row>
    <row r="48" spans="1:3" s="179" customFormat="1" ht="12.15" customHeight="1" x14ac:dyDescent="0.25">
      <c r="A48" s="11" t="s">
        <v>129</v>
      </c>
      <c r="B48" s="181" t="s">
        <v>213</v>
      </c>
      <c r="C48" s="114"/>
    </row>
    <row r="49" spans="1:3" s="179" customFormat="1" ht="12.15" customHeight="1" x14ac:dyDescent="0.25">
      <c r="A49" s="11" t="s">
        <v>130</v>
      </c>
      <c r="B49" s="181" t="s">
        <v>474</v>
      </c>
      <c r="C49" s="114"/>
    </row>
    <row r="50" spans="1:3" s="179" customFormat="1" ht="12.15" customHeight="1" x14ac:dyDescent="0.25">
      <c r="A50" s="11" t="s">
        <v>205</v>
      </c>
      <c r="B50" s="181" t="s">
        <v>215</v>
      </c>
      <c r="C50" s="114"/>
    </row>
    <row r="51" spans="1:3" s="179" customFormat="1" ht="12.15" customHeight="1" x14ac:dyDescent="0.25">
      <c r="A51" s="13" t="s">
        <v>206</v>
      </c>
      <c r="B51" s="182" t="s">
        <v>388</v>
      </c>
      <c r="C51" s="170"/>
    </row>
    <row r="52" spans="1:3" s="179" customFormat="1" ht="12.15" customHeight="1" thickBot="1" x14ac:dyDescent="0.3">
      <c r="A52" s="13" t="s">
        <v>389</v>
      </c>
      <c r="B52" s="107" t="s">
        <v>216</v>
      </c>
      <c r="C52" s="170"/>
    </row>
    <row r="53" spans="1:3" s="179" customFormat="1" ht="12.15" customHeight="1" thickBot="1" x14ac:dyDescent="0.3">
      <c r="A53" s="17" t="s">
        <v>21</v>
      </c>
      <c r="B53" s="18" t="s">
        <v>217</v>
      </c>
      <c r="C53" s="110">
        <f>SUM(C54:C58)</f>
        <v>0</v>
      </c>
    </row>
    <row r="54" spans="1:3" s="179" customFormat="1" ht="12.15" customHeight="1" x14ac:dyDescent="0.25">
      <c r="A54" s="12" t="s">
        <v>81</v>
      </c>
      <c r="B54" s="180" t="s">
        <v>221</v>
      </c>
      <c r="C54" s="214"/>
    </row>
    <row r="55" spans="1:3" s="179" customFormat="1" ht="12.15" customHeight="1" x14ac:dyDescent="0.25">
      <c r="A55" s="11" t="s">
        <v>82</v>
      </c>
      <c r="B55" s="181" t="s">
        <v>222</v>
      </c>
      <c r="C55" s="114"/>
    </row>
    <row r="56" spans="1:3" s="179" customFormat="1" ht="12.15" customHeight="1" x14ac:dyDescent="0.25">
      <c r="A56" s="11" t="s">
        <v>218</v>
      </c>
      <c r="B56" s="181" t="s">
        <v>223</v>
      </c>
      <c r="C56" s="114"/>
    </row>
    <row r="57" spans="1:3" s="179" customFormat="1" ht="12.15" customHeight="1" x14ac:dyDescent="0.25">
      <c r="A57" s="11" t="s">
        <v>219</v>
      </c>
      <c r="B57" s="181" t="s">
        <v>224</v>
      </c>
      <c r="C57" s="114"/>
    </row>
    <row r="58" spans="1:3" s="179" customFormat="1" ht="12.15" customHeight="1" thickBot="1" x14ac:dyDescent="0.3">
      <c r="A58" s="13" t="s">
        <v>220</v>
      </c>
      <c r="B58" s="107" t="s">
        <v>225</v>
      </c>
      <c r="C58" s="170"/>
    </row>
    <row r="59" spans="1:3" s="179" customFormat="1" ht="12.15" customHeight="1" thickBot="1" x14ac:dyDescent="0.3">
      <c r="A59" s="17" t="s">
        <v>131</v>
      </c>
      <c r="B59" s="18" t="s">
        <v>226</v>
      </c>
      <c r="C59" s="110">
        <f>SUM(C60:C62)</f>
        <v>0</v>
      </c>
    </row>
    <row r="60" spans="1:3" s="179" customFormat="1" ht="12.15" customHeight="1" x14ac:dyDescent="0.25">
      <c r="A60" s="12" t="s">
        <v>83</v>
      </c>
      <c r="B60" s="180" t="s">
        <v>227</v>
      </c>
      <c r="C60" s="112"/>
    </row>
    <row r="61" spans="1:3" s="179" customFormat="1" ht="12.15" customHeight="1" x14ac:dyDescent="0.25">
      <c r="A61" s="11" t="s">
        <v>84</v>
      </c>
      <c r="B61" s="181" t="s">
        <v>356</v>
      </c>
      <c r="C61" s="111"/>
    </row>
    <row r="62" spans="1:3" s="179" customFormat="1" ht="12.15" customHeight="1" x14ac:dyDescent="0.25">
      <c r="A62" s="11" t="s">
        <v>230</v>
      </c>
      <c r="B62" s="181" t="s">
        <v>228</v>
      </c>
      <c r="C62" s="111"/>
    </row>
    <row r="63" spans="1:3" s="179" customFormat="1" ht="12.15" customHeight="1" thickBot="1" x14ac:dyDescent="0.3">
      <c r="A63" s="13" t="s">
        <v>231</v>
      </c>
      <c r="B63" s="107" t="s">
        <v>229</v>
      </c>
      <c r="C63" s="113"/>
    </row>
    <row r="64" spans="1:3" s="179" customFormat="1" ht="12.15" customHeight="1" thickBot="1" x14ac:dyDescent="0.3">
      <c r="A64" s="17" t="s">
        <v>23</v>
      </c>
      <c r="B64" s="105" t="s">
        <v>232</v>
      </c>
      <c r="C64" s="110">
        <f>SUM(C65:C67)</f>
        <v>0</v>
      </c>
    </row>
    <row r="65" spans="1:3" s="179" customFormat="1" ht="12.15" customHeight="1" x14ac:dyDescent="0.25">
      <c r="A65" s="12" t="s">
        <v>132</v>
      </c>
      <c r="B65" s="180" t="s">
        <v>234</v>
      </c>
      <c r="C65" s="114"/>
    </row>
    <row r="66" spans="1:3" s="179" customFormat="1" ht="12.15" customHeight="1" x14ac:dyDescent="0.25">
      <c r="A66" s="11" t="s">
        <v>133</v>
      </c>
      <c r="B66" s="181" t="s">
        <v>357</v>
      </c>
      <c r="C66" s="114"/>
    </row>
    <row r="67" spans="1:3" s="179" customFormat="1" ht="12.15" customHeight="1" x14ac:dyDescent="0.25">
      <c r="A67" s="11" t="s">
        <v>158</v>
      </c>
      <c r="B67" s="181" t="s">
        <v>235</v>
      </c>
      <c r="C67" s="114"/>
    </row>
    <row r="68" spans="1:3" s="179" customFormat="1" ht="12.15" customHeight="1" thickBot="1" x14ac:dyDescent="0.3">
      <c r="A68" s="13" t="s">
        <v>233</v>
      </c>
      <c r="B68" s="107" t="s">
        <v>236</v>
      </c>
      <c r="C68" s="114"/>
    </row>
    <row r="69" spans="1:3" s="179" customFormat="1" ht="12.15" customHeight="1" thickBot="1" x14ac:dyDescent="0.3">
      <c r="A69" s="233" t="s">
        <v>390</v>
      </c>
      <c r="B69" s="18" t="s">
        <v>237</v>
      </c>
      <c r="C69" s="115">
        <f>+C11+C20+C27+C34+C41+C53+C59+C64</f>
        <v>0</v>
      </c>
    </row>
    <row r="70" spans="1:3" s="179" customFormat="1" ht="12.15" customHeight="1" thickBot="1" x14ac:dyDescent="0.3">
      <c r="A70" s="234" t="s">
        <v>238</v>
      </c>
      <c r="B70" s="105" t="s">
        <v>239</v>
      </c>
      <c r="C70" s="110">
        <f>SUM(C71:C73)</f>
        <v>0</v>
      </c>
    </row>
    <row r="71" spans="1:3" s="179" customFormat="1" ht="12.15" customHeight="1" x14ac:dyDescent="0.25">
      <c r="A71" s="12" t="s">
        <v>270</v>
      </c>
      <c r="B71" s="180" t="s">
        <v>240</v>
      </c>
      <c r="C71" s="114"/>
    </row>
    <row r="72" spans="1:3" s="179" customFormat="1" ht="12.15" customHeight="1" x14ac:dyDescent="0.25">
      <c r="A72" s="11" t="s">
        <v>279</v>
      </c>
      <c r="B72" s="181" t="s">
        <v>241</v>
      </c>
      <c r="C72" s="114"/>
    </row>
    <row r="73" spans="1:3" s="179" customFormat="1" ht="12.15" customHeight="1" thickBot="1" x14ac:dyDescent="0.3">
      <c r="A73" s="13" t="s">
        <v>280</v>
      </c>
      <c r="B73" s="235" t="s">
        <v>391</v>
      </c>
      <c r="C73" s="114"/>
    </row>
    <row r="74" spans="1:3" s="179" customFormat="1" ht="12.15" customHeight="1" thickBot="1" x14ac:dyDescent="0.3">
      <c r="A74" s="234" t="s">
        <v>243</v>
      </c>
      <c r="B74" s="105" t="s">
        <v>244</v>
      </c>
      <c r="C74" s="110">
        <f>SUM(C75:C78)</f>
        <v>0</v>
      </c>
    </row>
    <row r="75" spans="1:3" s="179" customFormat="1" ht="12.15" customHeight="1" x14ac:dyDescent="0.25">
      <c r="A75" s="12" t="s">
        <v>112</v>
      </c>
      <c r="B75" s="180" t="s">
        <v>245</v>
      </c>
      <c r="C75" s="114"/>
    </row>
    <row r="76" spans="1:3" s="179" customFormat="1" ht="12.15" customHeight="1" x14ac:dyDescent="0.25">
      <c r="A76" s="11" t="s">
        <v>113</v>
      </c>
      <c r="B76" s="181" t="s">
        <v>719</v>
      </c>
      <c r="C76" s="114"/>
    </row>
    <row r="77" spans="1:3" s="179" customFormat="1" ht="12.15" customHeight="1" x14ac:dyDescent="0.25">
      <c r="A77" s="11" t="s">
        <v>271</v>
      </c>
      <c r="B77" s="181" t="s">
        <v>247</v>
      </c>
      <c r="C77" s="114"/>
    </row>
    <row r="78" spans="1:3" s="179" customFormat="1" ht="12.15" customHeight="1" thickBot="1" x14ac:dyDescent="0.3">
      <c r="A78" s="13" t="s">
        <v>272</v>
      </c>
      <c r="B78" s="107" t="s">
        <v>720</v>
      </c>
      <c r="C78" s="114"/>
    </row>
    <row r="79" spans="1:3" s="179" customFormat="1" ht="12.15" customHeight="1" thickBot="1" x14ac:dyDescent="0.3">
      <c r="A79" s="234" t="s">
        <v>249</v>
      </c>
      <c r="B79" s="105" t="s">
        <v>250</v>
      </c>
      <c r="C79" s="110">
        <f>SUM(C80:C81)</f>
        <v>0</v>
      </c>
    </row>
    <row r="80" spans="1:3" s="179" customFormat="1" ht="12.15" customHeight="1" x14ac:dyDescent="0.25">
      <c r="A80" s="12" t="s">
        <v>273</v>
      </c>
      <c r="B80" s="180" t="s">
        <v>251</v>
      </c>
      <c r="C80" s="114"/>
    </row>
    <row r="81" spans="1:3" s="179" customFormat="1" ht="12.15" customHeight="1" thickBot="1" x14ac:dyDescent="0.3">
      <c r="A81" s="13" t="s">
        <v>274</v>
      </c>
      <c r="B81" s="107" t="s">
        <v>252</v>
      </c>
      <c r="C81" s="114"/>
    </row>
    <row r="82" spans="1:3" s="179" customFormat="1" ht="12.15" customHeight="1" thickBot="1" x14ac:dyDescent="0.3">
      <c r="A82" s="234" t="s">
        <v>253</v>
      </c>
      <c r="B82" s="105" t="s">
        <v>254</v>
      </c>
      <c r="C82" s="110">
        <f>SUM(C83:C85)</f>
        <v>0</v>
      </c>
    </row>
    <row r="83" spans="1:3" s="179" customFormat="1" ht="12.15" customHeight="1" x14ac:dyDescent="0.25">
      <c r="A83" s="12" t="s">
        <v>275</v>
      </c>
      <c r="B83" s="180" t="s">
        <v>255</v>
      </c>
      <c r="C83" s="114"/>
    </row>
    <row r="84" spans="1:3" s="179" customFormat="1" ht="12.15" customHeight="1" x14ac:dyDescent="0.25">
      <c r="A84" s="11" t="s">
        <v>276</v>
      </c>
      <c r="B84" s="181" t="s">
        <v>256</v>
      </c>
      <c r="C84" s="114"/>
    </row>
    <row r="85" spans="1:3" s="179" customFormat="1" ht="12.15" customHeight="1" thickBot="1" x14ac:dyDescent="0.3">
      <c r="A85" s="13" t="s">
        <v>277</v>
      </c>
      <c r="B85" s="107" t="s">
        <v>721</v>
      </c>
      <c r="C85" s="114"/>
    </row>
    <row r="86" spans="1:3" s="179" customFormat="1" ht="12.15" customHeight="1" thickBot="1" x14ac:dyDescent="0.3">
      <c r="A86" s="234" t="s">
        <v>258</v>
      </c>
      <c r="B86" s="105" t="s">
        <v>278</v>
      </c>
      <c r="C86" s="110">
        <f>SUM(C87:C90)</f>
        <v>0</v>
      </c>
    </row>
    <row r="87" spans="1:3" s="179" customFormat="1" ht="12.15" customHeight="1" x14ac:dyDescent="0.25">
      <c r="A87" s="184" t="s">
        <v>259</v>
      </c>
      <c r="B87" s="180" t="s">
        <v>260</v>
      </c>
      <c r="C87" s="114"/>
    </row>
    <row r="88" spans="1:3" s="179" customFormat="1" ht="12.15" customHeight="1" x14ac:dyDescent="0.25">
      <c r="A88" s="185" t="s">
        <v>261</v>
      </c>
      <c r="B88" s="181" t="s">
        <v>262</v>
      </c>
      <c r="C88" s="114"/>
    </row>
    <row r="89" spans="1:3" s="179" customFormat="1" ht="12.15" customHeight="1" x14ac:dyDescent="0.25">
      <c r="A89" s="185" t="s">
        <v>263</v>
      </c>
      <c r="B89" s="181" t="s">
        <v>264</v>
      </c>
      <c r="C89" s="114"/>
    </row>
    <row r="90" spans="1:3" s="179" customFormat="1" ht="12.15" customHeight="1" thickBot="1" x14ac:dyDescent="0.3">
      <c r="A90" s="186" t="s">
        <v>265</v>
      </c>
      <c r="B90" s="107" t="s">
        <v>266</v>
      </c>
      <c r="C90" s="114"/>
    </row>
    <row r="91" spans="1:3" s="179" customFormat="1" ht="12.15" customHeight="1" thickBot="1" x14ac:dyDescent="0.3">
      <c r="A91" s="234" t="s">
        <v>267</v>
      </c>
      <c r="B91" s="105" t="s">
        <v>392</v>
      </c>
      <c r="C91" s="215"/>
    </row>
    <row r="92" spans="1:3" s="179" customFormat="1" ht="13.65" customHeight="1" thickBot="1" x14ac:dyDescent="0.3">
      <c r="A92" s="234" t="s">
        <v>269</v>
      </c>
      <c r="B92" s="105" t="s">
        <v>268</v>
      </c>
      <c r="C92" s="215"/>
    </row>
    <row r="93" spans="1:3" s="179" customFormat="1" ht="15.75" customHeight="1" thickBot="1" x14ac:dyDescent="0.3">
      <c r="A93" s="234" t="s">
        <v>281</v>
      </c>
      <c r="B93" s="187" t="s">
        <v>393</v>
      </c>
      <c r="C93" s="115">
        <f>+C70+C74+C79+C82+C86+C92+C91</f>
        <v>0</v>
      </c>
    </row>
    <row r="94" spans="1:3" s="179" customFormat="1" ht="16.5" customHeight="1" thickBot="1" x14ac:dyDescent="0.3">
      <c r="A94" s="236" t="s">
        <v>394</v>
      </c>
      <c r="B94" s="188" t="s">
        <v>395</v>
      </c>
      <c r="C94" s="115">
        <f>+C69+C93</f>
        <v>0</v>
      </c>
    </row>
    <row r="95" spans="1:3" s="179" customFormat="1" ht="83.25" customHeight="1" x14ac:dyDescent="0.25">
      <c r="A95" s="2"/>
      <c r="B95" s="3"/>
      <c r="C95" s="116"/>
    </row>
    <row r="96" spans="1:3" ht="16.5" customHeight="1" x14ac:dyDescent="0.3">
      <c r="A96" s="1283" t="s">
        <v>44</v>
      </c>
      <c r="B96" s="1283"/>
      <c r="C96" s="1283"/>
    </row>
    <row r="97" spans="1:3" ht="16.5" customHeight="1" thickBot="1" x14ac:dyDescent="0.35">
      <c r="A97" s="1284" t="s">
        <v>115</v>
      </c>
      <c r="B97" s="1284"/>
      <c r="C97" s="56" t="s">
        <v>483</v>
      </c>
    </row>
    <row r="98" spans="1:3" ht="38.1" customHeight="1" thickBot="1" x14ac:dyDescent="0.35">
      <c r="A98" s="20" t="s">
        <v>63</v>
      </c>
      <c r="B98" s="21" t="s">
        <v>45</v>
      </c>
      <c r="C98" s="29" t="str">
        <f>+C9</f>
        <v>2024. évi előirányzat</v>
      </c>
    </row>
    <row r="99" spans="1:3" s="178" customFormat="1" ht="12.15" customHeight="1" thickBot="1" x14ac:dyDescent="0.25">
      <c r="A99" s="25" t="s">
        <v>382</v>
      </c>
      <c r="B99" s="26" t="s">
        <v>383</v>
      </c>
      <c r="C99" s="27" t="s">
        <v>384</v>
      </c>
    </row>
    <row r="100" spans="1:3" ht="12.15" customHeight="1" thickBot="1" x14ac:dyDescent="0.35">
      <c r="A100" s="19" t="s">
        <v>16</v>
      </c>
      <c r="B100" s="23" t="s">
        <v>433</v>
      </c>
      <c r="C100" s="109">
        <f>C101+C102+C103+C104+C105+C118</f>
        <v>0</v>
      </c>
    </row>
    <row r="101" spans="1:3" ht="12.15" customHeight="1" x14ac:dyDescent="0.3">
      <c r="A101" s="14" t="s">
        <v>85</v>
      </c>
      <c r="B101" s="7" t="s">
        <v>46</v>
      </c>
      <c r="C101" s="251"/>
    </row>
    <row r="102" spans="1:3" ht="12.15" customHeight="1" x14ac:dyDescent="0.3">
      <c r="A102" s="11" t="s">
        <v>86</v>
      </c>
      <c r="B102" s="5" t="s">
        <v>134</v>
      </c>
      <c r="C102" s="114"/>
    </row>
    <row r="103" spans="1:3" ht="12.15" customHeight="1" x14ac:dyDescent="0.3">
      <c r="A103" s="11" t="s">
        <v>87</v>
      </c>
      <c r="B103" s="5" t="s">
        <v>110</v>
      </c>
      <c r="C103" s="170"/>
    </row>
    <row r="104" spans="1:3" ht="12.15" customHeight="1" x14ac:dyDescent="0.3">
      <c r="A104" s="11" t="s">
        <v>88</v>
      </c>
      <c r="B104" s="8" t="s">
        <v>135</v>
      </c>
      <c r="C104" s="170"/>
    </row>
    <row r="105" spans="1:3" ht="12.15" customHeight="1" x14ac:dyDescent="0.3">
      <c r="A105" s="11" t="s">
        <v>99</v>
      </c>
      <c r="B105" s="16" t="s">
        <v>136</v>
      </c>
      <c r="C105" s="114">
        <f>SUM(C106:C117)</f>
        <v>0</v>
      </c>
    </row>
    <row r="106" spans="1:3" ht="12.15" customHeight="1" x14ac:dyDescent="0.3">
      <c r="A106" s="11" t="s">
        <v>89</v>
      </c>
      <c r="B106" s="5" t="s">
        <v>396</v>
      </c>
      <c r="C106" s="249"/>
    </row>
    <row r="107" spans="1:3" ht="12.15" customHeight="1" x14ac:dyDescent="0.3">
      <c r="A107" s="11" t="s">
        <v>90</v>
      </c>
      <c r="B107" s="60" t="s">
        <v>397</v>
      </c>
      <c r="C107" s="249"/>
    </row>
    <row r="108" spans="1:3" ht="12.15" customHeight="1" x14ac:dyDescent="0.3">
      <c r="A108" s="11" t="s">
        <v>100</v>
      </c>
      <c r="B108" s="60" t="s">
        <v>398</v>
      </c>
      <c r="C108" s="249"/>
    </row>
    <row r="109" spans="1:3" ht="12.15" customHeight="1" x14ac:dyDescent="0.3">
      <c r="A109" s="11" t="s">
        <v>101</v>
      </c>
      <c r="B109" s="58" t="s">
        <v>284</v>
      </c>
      <c r="C109" s="249"/>
    </row>
    <row r="110" spans="1:3" ht="12.15" customHeight="1" x14ac:dyDescent="0.3">
      <c r="A110" s="11" t="s">
        <v>102</v>
      </c>
      <c r="B110" s="59" t="s">
        <v>285</v>
      </c>
      <c r="C110" s="249"/>
    </row>
    <row r="111" spans="1:3" ht="12.15" customHeight="1" x14ac:dyDescent="0.3">
      <c r="A111" s="11" t="s">
        <v>103</v>
      </c>
      <c r="B111" s="59" t="s">
        <v>286</v>
      </c>
      <c r="C111" s="249"/>
    </row>
    <row r="112" spans="1:3" ht="12.15" customHeight="1" x14ac:dyDescent="0.3">
      <c r="A112" s="11" t="s">
        <v>105</v>
      </c>
      <c r="B112" s="58" t="s">
        <v>287</v>
      </c>
      <c r="C112" s="249"/>
    </row>
    <row r="113" spans="1:3" ht="12.15" customHeight="1" x14ac:dyDescent="0.3">
      <c r="A113" s="11" t="s">
        <v>137</v>
      </c>
      <c r="B113" s="58" t="s">
        <v>288</v>
      </c>
      <c r="C113" s="249"/>
    </row>
    <row r="114" spans="1:3" ht="12.15" customHeight="1" x14ac:dyDescent="0.3">
      <c r="A114" s="11" t="s">
        <v>282</v>
      </c>
      <c r="B114" s="59" t="s">
        <v>289</v>
      </c>
      <c r="C114" s="249"/>
    </row>
    <row r="115" spans="1:3" ht="12.15" customHeight="1" x14ac:dyDescent="0.3">
      <c r="A115" s="10" t="s">
        <v>283</v>
      </c>
      <c r="B115" s="60" t="s">
        <v>290</v>
      </c>
      <c r="C115" s="249"/>
    </row>
    <row r="116" spans="1:3" ht="12.15" customHeight="1" x14ac:dyDescent="0.3">
      <c r="A116" s="11" t="s">
        <v>399</v>
      </c>
      <c r="B116" s="60" t="s">
        <v>291</v>
      </c>
      <c r="C116" s="249"/>
    </row>
    <row r="117" spans="1:3" ht="12.15" customHeight="1" x14ac:dyDescent="0.3">
      <c r="A117" s="13" t="s">
        <v>400</v>
      </c>
      <c r="B117" s="60" t="s">
        <v>292</v>
      </c>
      <c r="C117" s="246"/>
    </row>
    <row r="118" spans="1:3" ht="12.15" customHeight="1" x14ac:dyDescent="0.3">
      <c r="A118" s="11" t="s">
        <v>401</v>
      </c>
      <c r="B118" s="8" t="s">
        <v>47</v>
      </c>
      <c r="C118" s="114">
        <f>C119+C120</f>
        <v>0</v>
      </c>
    </row>
    <row r="119" spans="1:3" ht="12.15" customHeight="1" x14ac:dyDescent="0.3">
      <c r="A119" s="11" t="s">
        <v>402</v>
      </c>
      <c r="B119" s="5" t="s">
        <v>403</v>
      </c>
      <c r="C119" s="111"/>
    </row>
    <row r="120" spans="1:3" ht="12.15" customHeight="1" thickBot="1" x14ac:dyDescent="0.35">
      <c r="A120" s="15" t="s">
        <v>404</v>
      </c>
      <c r="B120" s="237" t="s">
        <v>405</v>
      </c>
      <c r="C120" s="117"/>
    </row>
    <row r="121" spans="1:3" ht="12.15" customHeight="1" thickBot="1" x14ac:dyDescent="0.35">
      <c r="A121" s="238" t="s">
        <v>17</v>
      </c>
      <c r="B121" s="239" t="s">
        <v>293</v>
      </c>
      <c r="C121" s="240">
        <f>+C122+C124+C126</f>
        <v>0</v>
      </c>
    </row>
    <row r="122" spans="1:3" ht="12.15" customHeight="1" x14ac:dyDescent="0.3">
      <c r="A122" s="12" t="s">
        <v>91</v>
      </c>
      <c r="B122" s="5" t="s">
        <v>157</v>
      </c>
      <c r="C122" s="214"/>
    </row>
    <row r="123" spans="1:3" ht="12.15" customHeight="1" x14ac:dyDescent="0.3">
      <c r="A123" s="12" t="s">
        <v>92</v>
      </c>
      <c r="B123" s="9" t="s">
        <v>297</v>
      </c>
      <c r="C123" s="214"/>
    </row>
    <row r="124" spans="1:3" ht="12.15" customHeight="1" x14ac:dyDescent="0.3">
      <c r="A124" s="12" t="s">
        <v>93</v>
      </c>
      <c r="B124" s="9" t="s">
        <v>138</v>
      </c>
      <c r="C124" s="114"/>
    </row>
    <row r="125" spans="1:3" ht="12.15" customHeight="1" x14ac:dyDescent="0.3">
      <c r="A125" s="12" t="s">
        <v>94</v>
      </c>
      <c r="B125" s="9" t="s">
        <v>298</v>
      </c>
      <c r="C125" s="246"/>
    </row>
    <row r="126" spans="1:3" ht="12.15" customHeight="1" x14ac:dyDescent="0.3">
      <c r="A126" s="12" t="s">
        <v>95</v>
      </c>
      <c r="B126" s="107" t="s">
        <v>159</v>
      </c>
      <c r="C126" s="246">
        <f>SUM(C127:C134)</f>
        <v>0</v>
      </c>
    </row>
    <row r="127" spans="1:3" ht="12.15" customHeight="1" x14ac:dyDescent="0.3">
      <c r="A127" s="12" t="s">
        <v>104</v>
      </c>
      <c r="B127" s="106" t="s">
        <v>358</v>
      </c>
      <c r="C127" s="246"/>
    </row>
    <row r="128" spans="1:3" ht="12.15" customHeight="1" x14ac:dyDescent="0.3">
      <c r="A128" s="12" t="s">
        <v>106</v>
      </c>
      <c r="B128" s="177" t="s">
        <v>303</v>
      </c>
      <c r="C128" s="246"/>
    </row>
    <row r="129" spans="1:3" x14ac:dyDescent="0.3">
      <c r="A129" s="12" t="s">
        <v>139</v>
      </c>
      <c r="B129" s="59" t="s">
        <v>286</v>
      </c>
      <c r="C129" s="246"/>
    </row>
    <row r="130" spans="1:3" ht="12.15" customHeight="1" x14ac:dyDescent="0.3">
      <c r="A130" s="12" t="s">
        <v>140</v>
      </c>
      <c r="B130" s="59" t="s">
        <v>302</v>
      </c>
      <c r="C130" s="246"/>
    </row>
    <row r="131" spans="1:3" ht="12.15" customHeight="1" x14ac:dyDescent="0.3">
      <c r="A131" s="12" t="s">
        <v>141</v>
      </c>
      <c r="B131" s="59" t="s">
        <v>301</v>
      </c>
      <c r="C131" s="246"/>
    </row>
    <row r="132" spans="1:3" ht="12.15" customHeight="1" x14ac:dyDescent="0.3">
      <c r="A132" s="12" t="s">
        <v>294</v>
      </c>
      <c r="B132" s="59" t="s">
        <v>289</v>
      </c>
      <c r="C132" s="246"/>
    </row>
    <row r="133" spans="1:3" ht="12.15" customHeight="1" x14ac:dyDescent="0.3">
      <c r="A133" s="12" t="s">
        <v>295</v>
      </c>
      <c r="B133" s="59" t="s">
        <v>300</v>
      </c>
      <c r="C133" s="246"/>
    </row>
    <row r="134" spans="1:3" ht="16.2" thickBot="1" x14ac:dyDescent="0.35">
      <c r="A134" s="10" t="s">
        <v>296</v>
      </c>
      <c r="B134" s="59" t="s">
        <v>299</v>
      </c>
      <c r="C134" s="249"/>
    </row>
    <row r="135" spans="1:3" ht="12.15" customHeight="1" thickBot="1" x14ac:dyDescent="0.35">
      <c r="A135" s="17" t="s">
        <v>18</v>
      </c>
      <c r="B135" s="54" t="s">
        <v>406</v>
      </c>
      <c r="C135" s="110">
        <f>+C100+C121</f>
        <v>0</v>
      </c>
    </row>
    <row r="136" spans="1:3" ht="12.15" customHeight="1" thickBot="1" x14ac:dyDescent="0.35">
      <c r="A136" s="17" t="s">
        <v>19</v>
      </c>
      <c r="B136" s="54" t="s">
        <v>407</v>
      </c>
      <c r="C136" s="110">
        <f>+C137+C138+C139</f>
        <v>0</v>
      </c>
    </row>
    <row r="137" spans="1:3" ht="12.15" customHeight="1" x14ac:dyDescent="0.3">
      <c r="A137" s="12" t="s">
        <v>195</v>
      </c>
      <c r="B137" s="9" t="s">
        <v>408</v>
      </c>
      <c r="C137" s="99"/>
    </row>
    <row r="138" spans="1:3" ht="12.15" customHeight="1" x14ac:dyDescent="0.3">
      <c r="A138" s="12" t="s">
        <v>198</v>
      </c>
      <c r="B138" s="9" t="s">
        <v>409</v>
      </c>
      <c r="C138" s="99"/>
    </row>
    <row r="139" spans="1:3" ht="12.15" customHeight="1" thickBot="1" x14ac:dyDescent="0.35">
      <c r="A139" s="10" t="s">
        <v>199</v>
      </c>
      <c r="B139" s="9" t="s">
        <v>410</v>
      </c>
      <c r="C139" s="99"/>
    </row>
    <row r="140" spans="1:3" ht="12.15" customHeight="1" thickBot="1" x14ac:dyDescent="0.35">
      <c r="A140" s="17" t="s">
        <v>20</v>
      </c>
      <c r="B140" s="54" t="s">
        <v>411</v>
      </c>
      <c r="C140" s="110">
        <f>SUM(C141:C146)</f>
        <v>0</v>
      </c>
    </row>
    <row r="141" spans="1:3" ht="12.15" customHeight="1" x14ac:dyDescent="0.3">
      <c r="A141" s="12" t="s">
        <v>78</v>
      </c>
      <c r="B141" s="6" t="s">
        <v>412</v>
      </c>
      <c r="C141" s="99"/>
    </row>
    <row r="142" spans="1:3" ht="12.15" customHeight="1" x14ac:dyDescent="0.3">
      <c r="A142" s="12" t="s">
        <v>79</v>
      </c>
      <c r="B142" s="6" t="s">
        <v>413</v>
      </c>
      <c r="C142" s="99"/>
    </row>
    <row r="143" spans="1:3" ht="12.15" customHeight="1" x14ac:dyDescent="0.3">
      <c r="A143" s="12" t="s">
        <v>80</v>
      </c>
      <c r="B143" s="6" t="s">
        <v>414</v>
      </c>
      <c r="C143" s="99"/>
    </row>
    <row r="144" spans="1:3" ht="12.15" customHeight="1" x14ac:dyDescent="0.3">
      <c r="A144" s="12" t="s">
        <v>126</v>
      </c>
      <c r="B144" s="6" t="s">
        <v>415</v>
      </c>
      <c r="C144" s="99"/>
    </row>
    <row r="145" spans="1:6" ht="12.15" customHeight="1" x14ac:dyDescent="0.3">
      <c r="A145" s="12" t="s">
        <v>127</v>
      </c>
      <c r="B145" s="6" t="s">
        <v>416</v>
      </c>
      <c r="C145" s="99"/>
    </row>
    <row r="146" spans="1:6" ht="12.15" customHeight="1" thickBot="1" x14ac:dyDescent="0.35">
      <c r="A146" s="10" t="s">
        <v>128</v>
      </c>
      <c r="B146" s="6" t="s">
        <v>417</v>
      </c>
      <c r="C146" s="99"/>
    </row>
    <row r="147" spans="1:6" ht="12.15" customHeight="1" thickBot="1" x14ac:dyDescent="0.35">
      <c r="A147" s="17" t="s">
        <v>21</v>
      </c>
      <c r="B147" s="54" t="s">
        <v>418</v>
      </c>
      <c r="C147" s="115">
        <f>+C148+C149+C150+C151</f>
        <v>0</v>
      </c>
    </row>
    <row r="148" spans="1:6" ht="12.15" customHeight="1" x14ac:dyDescent="0.3">
      <c r="A148" s="12" t="s">
        <v>81</v>
      </c>
      <c r="B148" s="6" t="s">
        <v>304</v>
      </c>
      <c r="C148" s="99"/>
    </row>
    <row r="149" spans="1:6" ht="12.15" customHeight="1" x14ac:dyDescent="0.3">
      <c r="A149" s="12" t="s">
        <v>82</v>
      </c>
      <c r="B149" s="6" t="s">
        <v>305</v>
      </c>
      <c r="C149" s="99"/>
    </row>
    <row r="150" spans="1:6" ht="12.15" customHeight="1" x14ac:dyDescent="0.3">
      <c r="A150" s="12" t="s">
        <v>218</v>
      </c>
      <c r="B150" s="6" t="s">
        <v>419</v>
      </c>
      <c r="C150" s="99"/>
    </row>
    <row r="151" spans="1:6" ht="12.15" customHeight="1" thickBot="1" x14ac:dyDescent="0.35">
      <c r="A151" s="10" t="s">
        <v>219</v>
      </c>
      <c r="B151" s="4" t="s">
        <v>323</v>
      </c>
      <c r="C151" s="99"/>
    </row>
    <row r="152" spans="1:6" ht="12.15" customHeight="1" thickBot="1" x14ac:dyDescent="0.35">
      <c r="A152" s="17" t="s">
        <v>22</v>
      </c>
      <c r="B152" s="54" t="s">
        <v>420</v>
      </c>
      <c r="C152" s="118">
        <f>SUM(C153:C157)</f>
        <v>0</v>
      </c>
    </row>
    <row r="153" spans="1:6" ht="12.15" customHeight="1" x14ac:dyDescent="0.3">
      <c r="A153" s="12" t="s">
        <v>83</v>
      </c>
      <c r="B153" s="6" t="s">
        <v>421</v>
      </c>
      <c r="C153" s="99"/>
    </row>
    <row r="154" spans="1:6" ht="12.15" customHeight="1" x14ac:dyDescent="0.3">
      <c r="A154" s="12" t="s">
        <v>84</v>
      </c>
      <c r="B154" s="6" t="s">
        <v>422</v>
      </c>
      <c r="C154" s="99"/>
    </row>
    <row r="155" spans="1:6" ht="12.15" customHeight="1" x14ac:dyDescent="0.3">
      <c r="A155" s="12" t="s">
        <v>230</v>
      </c>
      <c r="B155" s="6" t="s">
        <v>423</v>
      </c>
      <c r="C155" s="99"/>
    </row>
    <row r="156" spans="1:6" ht="12.15" customHeight="1" x14ac:dyDescent="0.3">
      <c r="A156" s="12" t="s">
        <v>231</v>
      </c>
      <c r="B156" s="6" t="s">
        <v>424</v>
      </c>
      <c r="C156" s="99"/>
    </row>
    <row r="157" spans="1:6" ht="12.15" customHeight="1" thickBot="1" x14ac:dyDescent="0.35">
      <c r="A157" s="12" t="s">
        <v>425</v>
      </c>
      <c r="B157" s="6" t="s">
        <v>426</v>
      </c>
      <c r="C157" s="99"/>
    </row>
    <row r="158" spans="1:6" ht="12.15" customHeight="1" thickBot="1" x14ac:dyDescent="0.35">
      <c r="A158" s="17" t="s">
        <v>23</v>
      </c>
      <c r="B158" s="54" t="s">
        <v>427</v>
      </c>
      <c r="C158" s="241"/>
    </row>
    <row r="159" spans="1:6" ht="12.15" customHeight="1" thickBot="1" x14ac:dyDescent="0.35">
      <c r="A159" s="17" t="s">
        <v>24</v>
      </c>
      <c r="B159" s="54" t="s">
        <v>428</v>
      </c>
      <c r="C159" s="241"/>
    </row>
    <row r="160" spans="1:6" ht="15" customHeight="1" thickBot="1" x14ac:dyDescent="0.35">
      <c r="A160" s="17" t="s">
        <v>25</v>
      </c>
      <c r="B160" s="54" t="s">
        <v>429</v>
      </c>
      <c r="C160" s="189">
        <f>+C136+C140+C147+C152+C158+C159</f>
        <v>0</v>
      </c>
      <c r="D160" s="190"/>
      <c r="E160" s="190"/>
      <c r="F160" s="190"/>
    </row>
    <row r="161" spans="1:3" s="179" customFormat="1" ht="12.9" customHeight="1" thickBot="1" x14ac:dyDescent="0.3">
      <c r="A161" s="108" t="s">
        <v>26</v>
      </c>
      <c r="B161" s="166" t="s">
        <v>430</v>
      </c>
      <c r="C161" s="189">
        <f>+C135+C160</f>
        <v>0</v>
      </c>
    </row>
    <row r="162" spans="1:3" ht="7.5" customHeight="1" x14ac:dyDescent="0.3"/>
    <row r="163" spans="1:3" x14ac:dyDescent="0.3">
      <c r="A163" s="1279" t="s">
        <v>306</v>
      </c>
      <c r="B163" s="1279"/>
      <c r="C163" s="1279"/>
    </row>
    <row r="164" spans="1:3" ht="15" customHeight="1" thickBot="1" x14ac:dyDescent="0.35">
      <c r="A164" s="1282" t="s">
        <v>116</v>
      </c>
      <c r="B164" s="1282"/>
      <c r="C164" s="119" t="s">
        <v>483</v>
      </c>
    </row>
    <row r="165" spans="1:3" ht="13.65" customHeight="1" thickBot="1" x14ac:dyDescent="0.35">
      <c r="A165" s="17">
        <v>1</v>
      </c>
      <c r="B165" s="22" t="s">
        <v>431</v>
      </c>
      <c r="C165" s="110">
        <f>+C69-C135</f>
        <v>0</v>
      </c>
    </row>
    <row r="166" spans="1:3" ht="32.25" customHeight="1" thickBot="1" x14ac:dyDescent="0.35">
      <c r="A166" s="17" t="s">
        <v>17</v>
      </c>
      <c r="B166" s="22" t="s">
        <v>432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16" zoomScale="115" zoomScaleNormal="115" zoomScaleSheetLayoutView="100" workbookViewId="0">
      <selection activeCell="C33" sqref="C33"/>
    </sheetView>
  </sheetViews>
  <sheetFormatPr defaultColWidth="9.33203125" defaultRowHeight="13.2" x14ac:dyDescent="0.25"/>
  <cols>
    <col min="1" max="1" width="6.77734375" style="31" customWidth="1"/>
    <col min="2" max="2" width="55.109375" style="69" customWidth="1"/>
    <col min="3" max="3" width="16" style="31" bestFit="1" customWidth="1"/>
    <col min="4" max="4" width="55.109375" style="31" customWidth="1"/>
    <col min="5" max="5" width="16.33203125" style="31" customWidth="1"/>
    <col min="6" max="6" width="4.77734375" style="31" customWidth="1"/>
    <col min="7" max="9" width="9.33203125" style="31" customWidth="1"/>
    <col min="10" max="16384" width="9.33203125" style="31"/>
  </cols>
  <sheetData>
    <row r="1" spans="1:6" ht="39.75" customHeight="1" thickBot="1" x14ac:dyDescent="0.3">
      <c r="A1" s="1290" t="s">
        <v>119</v>
      </c>
      <c r="B1" s="1290"/>
      <c r="C1" s="1290"/>
      <c r="D1" s="1290"/>
      <c r="E1" s="1290"/>
      <c r="F1" s="1286" t="str">
        <f>CONCATENATE("5. melléklet ",ALAPADATOK!A7," ",ALAPADATOK!B7," ",ALAPADATOK!C7," ",ALAPADATOK!D7," ",ALAPADATOK!E7," ",ALAPADATOK!F7," ",ALAPADATOK!G7," ",ALAPADATOK!H7)</f>
        <v>5. melléklet a …. / 2024. ( .... ) önkormányzati rendelethez</v>
      </c>
    </row>
    <row r="2" spans="1:6" ht="39.75" hidden="1" customHeight="1" thickBot="1" x14ac:dyDescent="0.3">
      <c r="A2" s="883"/>
      <c r="B2" s="879"/>
      <c r="C2" s="879"/>
      <c r="D2" s="879"/>
      <c r="E2" s="879"/>
      <c r="F2" s="1286"/>
    </row>
    <row r="3" spans="1:6" ht="18" customHeight="1" thickBot="1" x14ac:dyDescent="0.3">
      <c r="A3" s="1287" t="s">
        <v>63</v>
      </c>
      <c r="B3" s="469" t="s">
        <v>52</v>
      </c>
      <c r="C3" s="470"/>
      <c r="D3" s="469" t="s">
        <v>53</v>
      </c>
      <c r="E3" s="471"/>
      <c r="F3" s="1286"/>
    </row>
    <row r="4" spans="1:6" s="126" customFormat="1" ht="35.4" customHeight="1" thickBot="1" x14ac:dyDescent="0.3">
      <c r="A4" s="1288"/>
      <c r="B4" s="472" t="s">
        <v>57</v>
      </c>
      <c r="C4" s="473" t="s">
        <v>1011</v>
      </c>
      <c r="D4" s="472" t="s">
        <v>57</v>
      </c>
      <c r="E4" s="474" t="str">
        <f>+C4</f>
        <v>2024.évi előirányzat</v>
      </c>
      <c r="F4" s="1286"/>
    </row>
    <row r="5" spans="1:6" s="131" customFormat="1" ht="12.15" customHeight="1" thickBot="1" x14ac:dyDescent="0.3">
      <c r="A5" s="127" t="s">
        <v>382</v>
      </c>
      <c r="B5" s="128" t="s">
        <v>383</v>
      </c>
      <c r="C5" s="129" t="s">
        <v>384</v>
      </c>
      <c r="D5" s="128" t="s">
        <v>434</v>
      </c>
      <c r="E5" s="130" t="s">
        <v>435</v>
      </c>
      <c r="F5" s="1286"/>
    </row>
    <row r="6" spans="1:6" ht="12.9" customHeight="1" x14ac:dyDescent="0.25">
      <c r="A6" s="132" t="s">
        <v>16</v>
      </c>
      <c r="B6" s="148" t="s">
        <v>307</v>
      </c>
      <c r="C6" s="465">
        <f>'1. sz.mell. '!C11</f>
        <v>2356863895</v>
      </c>
      <c r="D6" s="148" t="s">
        <v>58</v>
      </c>
      <c r="E6" s="34">
        <f>'1. sz.mell. '!C100</f>
        <v>1906551416</v>
      </c>
      <c r="F6" s="1286"/>
    </row>
    <row r="7" spans="1:6" ht="12.9" customHeight="1" x14ac:dyDescent="0.25">
      <c r="A7" s="134" t="s">
        <v>17</v>
      </c>
      <c r="B7" s="138" t="s">
        <v>308</v>
      </c>
      <c r="C7" s="35">
        <f>'1. sz.mell. '!C20</f>
        <v>569338983</v>
      </c>
      <c r="D7" s="138" t="s">
        <v>134</v>
      </c>
      <c r="E7" s="34">
        <f>'1. sz.mell. '!C101</f>
        <v>254857020</v>
      </c>
      <c r="F7" s="1286"/>
    </row>
    <row r="8" spans="1:6" ht="12.9" customHeight="1" x14ac:dyDescent="0.25">
      <c r="A8" s="134" t="s">
        <v>18</v>
      </c>
      <c r="B8" s="138" t="s">
        <v>328</v>
      </c>
      <c r="C8" s="35">
        <f>'1. sz.mell. '!C26</f>
        <v>48857836</v>
      </c>
      <c r="D8" s="138" t="s">
        <v>162</v>
      </c>
      <c r="E8" s="34">
        <f>'1. sz.mell. '!C102</f>
        <v>1596910262</v>
      </c>
      <c r="F8" s="1286"/>
    </row>
    <row r="9" spans="1:6" ht="12.9" customHeight="1" x14ac:dyDescent="0.25">
      <c r="A9" s="134" t="s">
        <v>19</v>
      </c>
      <c r="B9" s="138" t="s">
        <v>125</v>
      </c>
      <c r="C9" s="35">
        <f>'1. sz.mell. '!C34</f>
        <v>753676479</v>
      </c>
      <c r="D9" s="138" t="s">
        <v>135</v>
      </c>
      <c r="E9" s="36">
        <f>'1. sz.mell. '!C103</f>
        <v>48800000</v>
      </c>
      <c r="F9" s="1286"/>
    </row>
    <row r="10" spans="1:6" ht="12.9" customHeight="1" x14ac:dyDescent="0.25">
      <c r="A10" s="134" t="s">
        <v>20</v>
      </c>
      <c r="B10" s="475" t="s">
        <v>351</v>
      </c>
      <c r="C10" s="35">
        <f>'1. sz.mell. '!C41</f>
        <v>495779131</v>
      </c>
      <c r="D10" s="138" t="s">
        <v>136</v>
      </c>
      <c r="E10" s="36">
        <f>'1. sz.mell. '!C104</f>
        <v>367647874</v>
      </c>
      <c r="F10" s="1286"/>
    </row>
    <row r="11" spans="1:6" ht="12.9" customHeight="1" x14ac:dyDescent="0.25">
      <c r="A11" s="134" t="s">
        <v>21</v>
      </c>
      <c r="B11" s="138" t="s">
        <v>309</v>
      </c>
      <c r="C11" s="252">
        <f>'1. sz.mell. '!C59</f>
        <v>1345000</v>
      </c>
      <c r="D11" s="138" t="s">
        <v>47</v>
      </c>
      <c r="E11" s="36">
        <f>'1. sz.mell. '!C117-'7. sz.mell .'!E17</f>
        <v>56839136</v>
      </c>
      <c r="F11" s="1286"/>
    </row>
    <row r="12" spans="1:6" ht="12.9" customHeight="1" x14ac:dyDescent="0.25">
      <c r="A12" s="134" t="s">
        <v>22</v>
      </c>
      <c r="B12" s="138" t="s">
        <v>436</v>
      </c>
      <c r="C12" s="35">
        <f>'1. sz.mell. '!C63</f>
        <v>0</v>
      </c>
      <c r="D12" s="271"/>
      <c r="E12" s="36"/>
      <c r="F12" s="1286"/>
    </row>
    <row r="13" spans="1:6" ht="12.9" customHeight="1" x14ac:dyDescent="0.25">
      <c r="A13" s="134" t="s">
        <v>23</v>
      </c>
      <c r="B13" s="271"/>
      <c r="C13" s="35"/>
      <c r="D13" s="271"/>
      <c r="E13" s="36"/>
      <c r="F13" s="1286"/>
    </row>
    <row r="14" spans="1:6" ht="12.9" customHeight="1" x14ac:dyDescent="0.25">
      <c r="A14" s="134" t="s">
        <v>24</v>
      </c>
      <c r="B14" s="191"/>
      <c r="C14" s="252"/>
      <c r="D14" s="271"/>
      <c r="E14" s="36"/>
      <c r="F14" s="1286"/>
    </row>
    <row r="15" spans="1:6" ht="12.9" customHeight="1" x14ac:dyDescent="0.25">
      <c r="A15" s="134" t="s">
        <v>25</v>
      </c>
      <c r="B15" s="271"/>
      <c r="C15" s="35"/>
      <c r="D15" s="271"/>
      <c r="E15" s="36"/>
      <c r="F15" s="1286"/>
    </row>
    <row r="16" spans="1:6" ht="12.9" customHeight="1" x14ac:dyDescent="0.25">
      <c r="A16" s="134" t="s">
        <v>26</v>
      </c>
      <c r="B16" s="271"/>
      <c r="C16" s="35"/>
      <c r="D16" s="271"/>
      <c r="E16" s="36"/>
      <c r="F16" s="1286"/>
    </row>
    <row r="17" spans="1:6" ht="12.9" customHeight="1" thickBot="1" x14ac:dyDescent="0.3">
      <c r="A17" s="134" t="s">
        <v>27</v>
      </c>
      <c r="B17" s="476"/>
      <c r="C17" s="360"/>
      <c r="D17" s="271"/>
      <c r="E17" s="389"/>
      <c r="F17" s="1286"/>
    </row>
    <row r="18" spans="1:6" ht="15.9" customHeight="1" thickBot="1" x14ac:dyDescent="0.3">
      <c r="A18" s="136" t="s">
        <v>28</v>
      </c>
      <c r="B18" s="55" t="s">
        <v>437</v>
      </c>
      <c r="C18" s="120">
        <f>SUM(C6:C17)-C8</f>
        <v>4177003488</v>
      </c>
      <c r="D18" s="55" t="s">
        <v>314</v>
      </c>
      <c r="E18" s="124">
        <f>SUM(E6:E17)</f>
        <v>4231605708</v>
      </c>
      <c r="F18" s="1286"/>
    </row>
    <row r="19" spans="1:6" ht="12.9" customHeight="1" x14ac:dyDescent="0.25">
      <c r="A19" s="169" t="s">
        <v>29</v>
      </c>
      <c r="B19" s="137" t="s">
        <v>311</v>
      </c>
      <c r="C19" s="217">
        <f>SUM(C20:C23)</f>
        <v>-634656345</v>
      </c>
      <c r="D19" s="138" t="s">
        <v>142</v>
      </c>
      <c r="E19" s="125"/>
      <c r="F19" s="1286"/>
    </row>
    <row r="20" spans="1:6" ht="12.9" customHeight="1" x14ac:dyDescent="0.25">
      <c r="A20" s="134" t="s">
        <v>30</v>
      </c>
      <c r="B20" s="138" t="s">
        <v>155</v>
      </c>
      <c r="C20" s="35">
        <f>'1. sz.mell. '!C80-'7. sz.mell .'!C20</f>
        <v>-634656345</v>
      </c>
      <c r="D20" s="138" t="s">
        <v>313</v>
      </c>
      <c r="E20" s="36">
        <f>'1. sz.mell. '!C137</f>
        <v>1100000000</v>
      </c>
      <c r="F20" s="1286"/>
    </row>
    <row r="21" spans="1:6" ht="12.9" customHeight="1" x14ac:dyDescent="0.25">
      <c r="A21" s="134" t="s">
        <v>31</v>
      </c>
      <c r="B21" s="138" t="s">
        <v>156</v>
      </c>
      <c r="C21" s="35"/>
      <c r="D21" s="138" t="s">
        <v>117</v>
      </c>
      <c r="E21" s="36"/>
      <c r="F21" s="1286"/>
    </row>
    <row r="22" spans="1:6" ht="12.9" customHeight="1" x14ac:dyDescent="0.25">
      <c r="A22" s="134" t="s">
        <v>32</v>
      </c>
      <c r="B22" s="138" t="s">
        <v>160</v>
      </c>
      <c r="C22" s="35"/>
      <c r="D22" s="138" t="s">
        <v>118</v>
      </c>
      <c r="E22" s="36"/>
      <c r="F22" s="1286"/>
    </row>
    <row r="23" spans="1:6" ht="12.9" customHeight="1" x14ac:dyDescent="0.25">
      <c r="A23" s="134" t="s">
        <v>33</v>
      </c>
      <c r="B23" s="138" t="s">
        <v>161</v>
      </c>
      <c r="C23" s="35"/>
      <c r="D23" s="137" t="s">
        <v>163</v>
      </c>
      <c r="E23" s="36"/>
      <c r="F23" s="1286"/>
    </row>
    <row r="24" spans="1:6" ht="12.9" customHeight="1" x14ac:dyDescent="0.25">
      <c r="A24" s="134" t="s">
        <v>34</v>
      </c>
      <c r="B24" s="138" t="s">
        <v>312</v>
      </c>
      <c r="C24" s="139">
        <f>SUM(C25:C26)</f>
        <v>1100000000</v>
      </c>
      <c r="D24" s="138" t="s">
        <v>143</v>
      </c>
      <c r="E24" s="36"/>
      <c r="F24" s="1286"/>
    </row>
    <row r="25" spans="1:6" ht="12.9" customHeight="1" x14ac:dyDescent="0.25">
      <c r="A25" s="169" t="s">
        <v>35</v>
      </c>
      <c r="B25" s="137" t="s">
        <v>310</v>
      </c>
      <c r="C25" s="121">
        <f>'1. sz.mell. '!C72</f>
        <v>1100000000</v>
      </c>
      <c r="D25" s="148" t="s">
        <v>419</v>
      </c>
      <c r="E25" s="125"/>
      <c r="F25" s="1286"/>
    </row>
    <row r="26" spans="1:6" ht="12.9" customHeight="1" x14ac:dyDescent="0.25">
      <c r="A26" s="134" t="s">
        <v>36</v>
      </c>
      <c r="B26" s="138" t="s">
        <v>438</v>
      </c>
      <c r="C26" s="35"/>
      <c r="D26" s="138" t="s">
        <v>427</v>
      </c>
      <c r="E26" s="36"/>
      <c r="F26" s="1286"/>
    </row>
    <row r="27" spans="1:6" ht="12.9" customHeight="1" x14ac:dyDescent="0.25">
      <c r="A27" s="134" t="s">
        <v>37</v>
      </c>
      <c r="B27" s="138" t="s">
        <v>255</v>
      </c>
      <c r="C27" s="35">
        <f>'1. sz.mell. '!C83</f>
        <v>67733205</v>
      </c>
      <c r="D27" s="138" t="s">
        <v>428</v>
      </c>
      <c r="E27" s="36"/>
      <c r="F27" s="1286"/>
    </row>
    <row r="28" spans="1:6" ht="12.9" customHeight="1" thickBot="1" x14ac:dyDescent="0.3">
      <c r="A28" s="169" t="s">
        <v>38</v>
      </c>
      <c r="B28" s="137" t="s">
        <v>268</v>
      </c>
      <c r="C28" s="121"/>
      <c r="D28" s="477" t="s">
        <v>477</v>
      </c>
      <c r="E28" s="125">
        <f>'1. sz.mell. '!C148</f>
        <v>67733205</v>
      </c>
      <c r="F28" s="1286"/>
    </row>
    <row r="29" spans="1:6" ht="21.75" customHeight="1" thickBot="1" x14ac:dyDescent="0.3">
      <c r="A29" s="136" t="s">
        <v>39</v>
      </c>
      <c r="B29" s="55" t="s">
        <v>439</v>
      </c>
      <c r="C29" s="120">
        <f>+C19+C24+C27+C28</f>
        <v>533076860</v>
      </c>
      <c r="D29" s="55" t="s">
        <v>440</v>
      </c>
      <c r="E29" s="124">
        <f>SUM(E19:E28)</f>
        <v>1167733205</v>
      </c>
      <c r="F29" s="1286"/>
    </row>
    <row r="30" spans="1:6" ht="13.8" thickBot="1" x14ac:dyDescent="0.3">
      <c r="A30" s="136" t="s">
        <v>40</v>
      </c>
      <c r="B30" s="140" t="s">
        <v>441</v>
      </c>
      <c r="C30" s="276">
        <f>+C18+C29</f>
        <v>4710080348</v>
      </c>
      <c r="D30" s="140" t="s">
        <v>442</v>
      </c>
      <c r="E30" s="276">
        <f>E29+E18</f>
        <v>5399338913</v>
      </c>
      <c r="F30" s="1286"/>
    </row>
    <row r="31" spans="1:6" ht="13.8" thickBot="1" x14ac:dyDescent="0.3">
      <c r="A31" s="136" t="s">
        <v>41</v>
      </c>
      <c r="B31" s="140" t="s">
        <v>120</v>
      </c>
      <c r="C31" s="276">
        <f>IF(C18-E18&lt;0,E18-C18,"-")</f>
        <v>54602220</v>
      </c>
      <c r="D31" s="140" t="s">
        <v>121</v>
      </c>
      <c r="E31" s="276" t="str">
        <f>IF(C18-E18&gt;0,C18-E18,"-")</f>
        <v>-</v>
      </c>
      <c r="F31" s="1286"/>
    </row>
    <row r="32" spans="1:6" ht="13.8" thickBot="1" x14ac:dyDescent="0.3">
      <c r="A32" s="136" t="s">
        <v>42</v>
      </c>
      <c r="B32" s="140" t="s">
        <v>707</v>
      </c>
      <c r="C32" s="276">
        <f>IF(C29-E29&lt;0,E29-C29,"-")</f>
        <v>634656345</v>
      </c>
      <c r="D32" s="140" t="s">
        <v>708</v>
      </c>
      <c r="E32" s="276" t="str">
        <f>IF(C29-E29&gt;0,C29-E29,"-")</f>
        <v>-</v>
      </c>
      <c r="F32" s="1286"/>
    </row>
    <row r="33" spans="1:6" ht="13.8" thickBot="1" x14ac:dyDescent="0.3">
      <c r="A33" s="136" t="s">
        <v>43</v>
      </c>
      <c r="B33" s="140" t="s">
        <v>164</v>
      </c>
      <c r="C33" s="141">
        <f>IF(C30-E30&lt;0,E30-C30,"-")</f>
        <v>689258565</v>
      </c>
      <c r="D33" s="140" t="s">
        <v>165</v>
      </c>
      <c r="E33" s="276" t="str">
        <f>IF(C30-E30&gt;0,C30-E30,"-")</f>
        <v>-</v>
      </c>
      <c r="F33" s="1286"/>
    </row>
    <row r="34" spans="1:6" ht="17.399999999999999" x14ac:dyDescent="0.25">
      <c r="B34" s="1289"/>
      <c r="C34" s="1289"/>
      <c r="D34" s="1289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G41"/>
  <sheetViews>
    <sheetView topLeftCell="A16" zoomScaleNormal="100" zoomScaleSheetLayoutView="115" workbookViewId="0">
      <selection activeCell="B32" sqref="B32"/>
    </sheetView>
  </sheetViews>
  <sheetFormatPr defaultColWidth="9.33203125" defaultRowHeight="13.2" x14ac:dyDescent="0.25"/>
  <cols>
    <col min="1" max="1" width="6.77734375" style="31" customWidth="1"/>
    <col min="2" max="2" width="55.109375" style="69" customWidth="1"/>
    <col min="3" max="3" width="16.33203125" style="31" customWidth="1"/>
    <col min="4" max="4" width="55.109375" style="31" customWidth="1"/>
    <col min="5" max="5" width="16.33203125" style="31" customWidth="1"/>
    <col min="6" max="6" width="4.77734375" style="31" customWidth="1"/>
    <col min="7" max="9" width="9.33203125" style="31" customWidth="1"/>
    <col min="10" max="16384" width="9.33203125" style="31"/>
  </cols>
  <sheetData>
    <row r="2" spans="1:6" ht="37.5" customHeight="1" thickBot="1" x14ac:dyDescent="0.3">
      <c r="A2" s="1291" t="s">
        <v>495</v>
      </c>
      <c r="B2" s="1291"/>
      <c r="C2" s="1291"/>
      <c r="D2" s="1291"/>
      <c r="E2" s="1291"/>
      <c r="F2" s="1286" t="str">
        <f>CONCATENATE("6. melléklet ",ALAPADATOK!A7," ",ALAPADATOK!B7," ",ALAPADATOK!C7," ",ALAPADATOK!D7," ",ALAPADATOK!E7," ",ALAPADATOK!F7," ",ALAPADATOK!G7," ",ALAPADATOK!H7)</f>
        <v>6. melléklet a …. / 2024. ( .... ) önkormányzati rendelethez</v>
      </c>
    </row>
    <row r="3" spans="1:6" ht="37.5" hidden="1" customHeight="1" thickBot="1" x14ac:dyDescent="0.3">
      <c r="A3" s="602"/>
      <c r="B3" s="886"/>
      <c r="C3" s="886"/>
      <c r="D3" s="886"/>
      <c r="E3" s="886"/>
      <c r="F3" s="1286"/>
    </row>
    <row r="4" spans="1:6" ht="13.65" customHeight="1" thickBot="1" x14ac:dyDescent="0.3">
      <c r="A4" s="1287" t="s">
        <v>63</v>
      </c>
      <c r="B4" s="70" t="s">
        <v>52</v>
      </c>
      <c r="C4" s="888"/>
      <c r="D4" s="70" t="s">
        <v>53</v>
      </c>
      <c r="E4" s="889"/>
      <c r="F4" s="1286"/>
    </row>
    <row r="5" spans="1:6" s="126" customFormat="1" ht="13.8" thickBot="1" x14ac:dyDescent="0.3">
      <c r="A5" s="1288"/>
      <c r="B5" s="70" t="s">
        <v>57</v>
      </c>
      <c r="C5" s="29" t="s">
        <v>1010</v>
      </c>
      <c r="D5" s="70" t="s">
        <v>57</v>
      </c>
      <c r="E5" s="29" t="str">
        <f>C5</f>
        <v>2024. évi előirányzat</v>
      </c>
      <c r="F5" s="1286"/>
    </row>
    <row r="6" spans="1:6" s="126" customFormat="1" ht="13.8" thickBot="1" x14ac:dyDescent="0.3">
      <c r="A6" s="127" t="s">
        <v>382</v>
      </c>
      <c r="B6" s="128" t="s">
        <v>383</v>
      </c>
      <c r="C6" s="129" t="s">
        <v>384</v>
      </c>
      <c r="D6" s="128" t="s">
        <v>434</v>
      </c>
      <c r="E6" s="130" t="s">
        <v>435</v>
      </c>
      <c r="F6" s="1286"/>
    </row>
    <row r="7" spans="1:6" ht="12.9" customHeight="1" x14ac:dyDescent="0.25">
      <c r="A7" s="132" t="s">
        <v>16</v>
      </c>
      <c r="B7" s="133" t="s">
        <v>315</v>
      </c>
      <c r="C7" s="465">
        <f>'1. sz.mell. '!C27</f>
        <v>189350492</v>
      </c>
      <c r="D7" s="148" t="s">
        <v>157</v>
      </c>
      <c r="E7" s="34">
        <f>'1. sz.mell. '!C121</f>
        <v>544543857</v>
      </c>
      <c r="F7" s="1286"/>
    </row>
    <row r="8" spans="1:6" ht="12.75" customHeight="1" x14ac:dyDescent="0.25">
      <c r="A8" s="134" t="s">
        <v>17</v>
      </c>
      <c r="B8" s="135" t="s">
        <v>316</v>
      </c>
      <c r="C8" s="35">
        <f>'1. sz.mell. '!C33</f>
        <v>189350492</v>
      </c>
      <c r="D8" s="138" t="s">
        <v>321</v>
      </c>
      <c r="E8" s="639">
        <f>'1. sz.mell. '!C122</f>
        <v>255720097</v>
      </c>
      <c r="F8" s="1286"/>
    </row>
    <row r="9" spans="1:6" ht="12.9" customHeight="1" x14ac:dyDescent="0.25">
      <c r="A9" s="134" t="s">
        <v>18</v>
      </c>
      <c r="B9" s="135" t="s">
        <v>9</v>
      </c>
      <c r="C9" s="35">
        <f>'1. sz.mell. '!C53</f>
        <v>20000000</v>
      </c>
      <c r="D9" s="138" t="s">
        <v>138</v>
      </c>
      <c r="E9" s="639">
        <f>'1. sz.mell. '!C123</f>
        <v>976239214</v>
      </c>
      <c r="F9" s="1286"/>
    </row>
    <row r="10" spans="1:6" ht="12.9" customHeight="1" x14ac:dyDescent="0.25">
      <c r="A10" s="134" t="s">
        <v>19</v>
      </c>
      <c r="B10" s="135" t="s">
        <v>317</v>
      </c>
      <c r="C10" s="35">
        <f>'1. sz.mell. '!C64</f>
        <v>0</v>
      </c>
      <c r="D10" s="138" t="s">
        <v>322</v>
      </c>
      <c r="E10" s="639">
        <f>'1. sz.mell. '!C124</f>
        <v>605613240</v>
      </c>
      <c r="F10" s="1286"/>
    </row>
    <row r="11" spans="1:6" ht="12.75" customHeight="1" x14ac:dyDescent="0.25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54287274</v>
      </c>
      <c r="F11" s="1286"/>
    </row>
    <row r="12" spans="1:6" ht="12.9" customHeight="1" x14ac:dyDescent="0.25">
      <c r="A12" s="134" t="s">
        <v>21</v>
      </c>
      <c r="B12" s="135" t="s">
        <v>319</v>
      </c>
      <c r="C12" s="252"/>
      <c r="D12" s="242"/>
      <c r="E12" s="36"/>
      <c r="F12" s="1286"/>
    </row>
    <row r="13" spans="1:6" ht="12.9" customHeight="1" x14ac:dyDescent="0.25">
      <c r="A13" s="134" t="s">
        <v>22</v>
      </c>
      <c r="B13" s="30"/>
      <c r="C13" s="35"/>
      <c r="D13" s="242"/>
      <c r="E13" s="36"/>
      <c r="F13" s="1286"/>
    </row>
    <row r="14" spans="1:6" ht="12.9" customHeight="1" x14ac:dyDescent="0.25">
      <c r="A14" s="134" t="s">
        <v>23</v>
      </c>
      <c r="B14" s="30"/>
      <c r="C14" s="35"/>
      <c r="D14" s="242"/>
      <c r="E14" s="36"/>
      <c r="F14" s="1286"/>
    </row>
    <row r="15" spans="1:6" ht="12.9" customHeight="1" x14ac:dyDescent="0.25">
      <c r="A15" s="134" t="s">
        <v>24</v>
      </c>
      <c r="B15" s="243"/>
      <c r="C15" s="252"/>
      <c r="D15" s="242"/>
      <c r="E15" s="36"/>
      <c r="F15" s="1286"/>
    </row>
    <row r="16" spans="1:6" x14ac:dyDescent="0.25">
      <c r="A16" s="134" t="s">
        <v>25</v>
      </c>
      <c r="B16" s="30"/>
      <c r="C16" s="252"/>
      <c r="D16" s="242"/>
      <c r="E16" s="36"/>
      <c r="F16" s="1286"/>
    </row>
    <row r="17" spans="1:7" ht="12.9" customHeight="1" thickBot="1" x14ac:dyDescent="0.3">
      <c r="A17" s="169" t="s">
        <v>26</v>
      </c>
      <c r="B17" s="192"/>
      <c r="C17" s="272"/>
      <c r="D17" s="137" t="s">
        <v>47</v>
      </c>
      <c r="E17" s="125">
        <f>83549108</f>
        <v>83549108</v>
      </c>
      <c r="F17" s="1286"/>
    </row>
    <row r="18" spans="1:7" ht="15.9" customHeight="1" thickBot="1" x14ac:dyDescent="0.3">
      <c r="A18" s="136" t="s">
        <v>27</v>
      </c>
      <c r="B18" s="55" t="s">
        <v>329</v>
      </c>
      <c r="C18" s="120">
        <f>+C7+C9+C10+C12+C13+C14+C15+C16+C17</f>
        <v>209350492</v>
      </c>
      <c r="D18" s="55" t="s">
        <v>330</v>
      </c>
      <c r="E18" s="124">
        <f>+E7+E9+E11+E12+E13+E14+E15+E16+E17</f>
        <v>1658619453</v>
      </c>
      <c r="F18" s="1286"/>
    </row>
    <row r="19" spans="1:7" ht="12.9" customHeight="1" x14ac:dyDescent="0.25">
      <c r="A19" s="132" t="s">
        <v>28</v>
      </c>
      <c r="B19" s="144" t="s">
        <v>177</v>
      </c>
      <c r="C19" s="151">
        <f>+C20+C21+C22+C23+C24</f>
        <v>2171629856</v>
      </c>
      <c r="D19" s="138" t="s">
        <v>142</v>
      </c>
      <c r="E19" s="34"/>
      <c r="F19" s="1286"/>
    </row>
    <row r="20" spans="1:7" ht="22.65" customHeight="1" x14ac:dyDescent="0.25">
      <c r="A20" s="134" t="s">
        <v>29</v>
      </c>
      <c r="B20" s="145" t="s">
        <v>914</v>
      </c>
      <c r="C20" s="35">
        <v>2171629856</v>
      </c>
      <c r="D20" s="138" t="s">
        <v>145</v>
      </c>
      <c r="E20" s="36">
        <f>SUM(E21:E22)</f>
        <v>33102330</v>
      </c>
      <c r="F20" s="1286"/>
      <c r="G20" s="1049"/>
    </row>
    <row r="21" spans="1:7" ht="12.9" customHeight="1" x14ac:dyDescent="0.25">
      <c r="A21" s="132" t="s">
        <v>30</v>
      </c>
      <c r="B21" s="145" t="s">
        <v>167</v>
      </c>
      <c r="C21" s="35"/>
      <c r="D21" s="521" t="s">
        <v>117</v>
      </c>
      <c r="E21" s="36"/>
      <c r="F21" s="1286"/>
    </row>
    <row r="22" spans="1:7" ht="12.9" customHeight="1" x14ac:dyDescent="0.25">
      <c r="A22" s="134" t="s">
        <v>31</v>
      </c>
      <c r="B22" s="145" t="s">
        <v>168</v>
      </c>
      <c r="C22" s="35"/>
      <c r="D22" s="521" t="s">
        <v>118</v>
      </c>
      <c r="E22" s="36">
        <f>'1. sz.mell. '!C136</f>
        <v>33102330</v>
      </c>
      <c r="F22" s="1286"/>
    </row>
    <row r="23" spans="1:7" ht="12.9" customHeight="1" x14ac:dyDescent="0.25">
      <c r="A23" s="132" t="s">
        <v>32</v>
      </c>
      <c r="B23" s="145" t="s">
        <v>169</v>
      </c>
      <c r="C23" s="35"/>
      <c r="D23" s="137" t="s">
        <v>163</v>
      </c>
      <c r="E23" s="36"/>
      <c r="F23" s="1286"/>
    </row>
    <row r="24" spans="1:7" ht="12.9" customHeight="1" x14ac:dyDescent="0.25">
      <c r="A24" s="134" t="s">
        <v>33</v>
      </c>
      <c r="B24" s="146" t="s">
        <v>170</v>
      </c>
      <c r="C24" s="35"/>
      <c r="D24" s="138" t="s">
        <v>146</v>
      </c>
      <c r="E24" s="36"/>
      <c r="F24" s="1286"/>
    </row>
    <row r="25" spans="1:7" ht="12.9" customHeight="1" x14ac:dyDescent="0.25">
      <c r="A25" s="132" t="s">
        <v>34</v>
      </c>
      <c r="B25" s="147" t="s">
        <v>171</v>
      </c>
      <c r="C25" s="361">
        <f>+C26+C27+C28+C29+C30</f>
        <v>0</v>
      </c>
      <c r="D25" s="148" t="s">
        <v>144</v>
      </c>
      <c r="E25" s="36"/>
      <c r="F25" s="1286"/>
    </row>
    <row r="26" spans="1:7" ht="12.9" customHeight="1" x14ac:dyDescent="0.25">
      <c r="A26" s="134" t="s">
        <v>35</v>
      </c>
      <c r="B26" s="146" t="s">
        <v>172</v>
      </c>
      <c r="C26" s="35">
        <f>'1. sz.mell. '!C71</f>
        <v>0</v>
      </c>
      <c r="D26" s="148" t="s">
        <v>323</v>
      </c>
      <c r="E26" s="36"/>
      <c r="F26" s="1286"/>
    </row>
    <row r="27" spans="1:7" ht="12.9" customHeight="1" x14ac:dyDescent="0.25">
      <c r="A27" s="132" t="s">
        <v>36</v>
      </c>
      <c r="B27" s="146" t="s">
        <v>173</v>
      </c>
      <c r="C27" s="35"/>
      <c r="D27" s="143"/>
      <c r="E27" s="36"/>
      <c r="F27" s="1286"/>
    </row>
    <row r="28" spans="1:7" ht="12.9" customHeight="1" x14ac:dyDescent="0.25">
      <c r="A28" s="134" t="s">
        <v>37</v>
      </c>
      <c r="B28" s="145" t="s">
        <v>174</v>
      </c>
      <c r="C28" s="35"/>
      <c r="D28" s="143"/>
      <c r="E28" s="36"/>
      <c r="F28" s="1286"/>
    </row>
    <row r="29" spans="1:7" ht="12.9" customHeight="1" x14ac:dyDescent="0.25">
      <c r="A29" s="132" t="s">
        <v>38</v>
      </c>
      <c r="B29" s="149" t="s">
        <v>175</v>
      </c>
      <c r="C29" s="35"/>
      <c r="D29" s="271"/>
      <c r="E29" s="36"/>
      <c r="F29" s="1286"/>
    </row>
    <row r="30" spans="1:7" ht="12.9" customHeight="1" thickBot="1" x14ac:dyDescent="0.3">
      <c r="A30" s="134" t="s">
        <v>39</v>
      </c>
      <c r="B30" s="150" t="s">
        <v>176</v>
      </c>
      <c r="C30" s="35"/>
      <c r="D30" s="143"/>
      <c r="E30" s="36"/>
      <c r="F30" s="1286"/>
    </row>
    <row r="31" spans="1:7" ht="21.75" customHeight="1" thickBot="1" x14ac:dyDescent="0.3">
      <c r="A31" s="136" t="s">
        <v>40</v>
      </c>
      <c r="B31" s="55" t="s">
        <v>320</v>
      </c>
      <c r="C31" s="120">
        <f>+C19+C25</f>
        <v>2171629856</v>
      </c>
      <c r="D31" s="55" t="s">
        <v>324</v>
      </c>
      <c r="E31" s="124">
        <f>SUM(E19:E30)-E21-E22</f>
        <v>33102330</v>
      </c>
      <c r="F31" s="1286"/>
    </row>
    <row r="32" spans="1:7" ht="13.8" thickBot="1" x14ac:dyDescent="0.3">
      <c r="A32" s="136" t="s">
        <v>41</v>
      </c>
      <c r="B32" s="140" t="s">
        <v>325</v>
      </c>
      <c r="C32" s="141">
        <f>+C18+C31</f>
        <v>2380980348</v>
      </c>
      <c r="D32" s="140" t="s">
        <v>326</v>
      </c>
      <c r="E32" s="141">
        <f>+E18+E31</f>
        <v>1691721783</v>
      </c>
      <c r="F32" s="1286"/>
    </row>
    <row r="33" spans="1:6" ht="13.8" thickBot="1" x14ac:dyDescent="0.3">
      <c r="A33" s="136" t="s">
        <v>42</v>
      </c>
      <c r="B33" s="140" t="s">
        <v>120</v>
      </c>
      <c r="C33" s="141">
        <f>IF(C18-E18&lt;0,E18-C18,"-")</f>
        <v>1449268961</v>
      </c>
      <c r="D33" s="140" t="s">
        <v>121</v>
      </c>
      <c r="E33" s="141" t="str">
        <f>IF(C18-E18&gt;0,C18-E18,"-")</f>
        <v>-</v>
      </c>
      <c r="F33" s="1286"/>
    </row>
    <row r="34" spans="1:6" ht="13.8" thickBot="1" x14ac:dyDescent="0.3">
      <c r="A34" s="136" t="s">
        <v>43</v>
      </c>
      <c r="B34" s="140" t="s">
        <v>707</v>
      </c>
      <c r="C34" s="276" t="str">
        <f>IF(C31-E31&lt;0,E31-C31,"-")</f>
        <v>-</v>
      </c>
      <c r="D34" s="140" t="s">
        <v>708</v>
      </c>
      <c r="E34" s="276">
        <f>IF(C31-E31&gt;0,C31-E31,"-")</f>
        <v>2138527526</v>
      </c>
      <c r="F34" s="1286"/>
    </row>
    <row r="35" spans="1:6" ht="13.8" thickBot="1" x14ac:dyDescent="0.3">
      <c r="A35" s="136" t="s">
        <v>709</v>
      </c>
      <c r="B35" s="140" t="s">
        <v>164</v>
      </c>
      <c r="C35" s="141" t="str">
        <f>IF(C32-E32&lt;0,E32-C32,"-")</f>
        <v>-</v>
      </c>
      <c r="D35" s="140" t="s">
        <v>165</v>
      </c>
      <c r="E35" s="141">
        <f>IF(C32-E32&gt;0,C32-E32,"-")</f>
        <v>689258565</v>
      </c>
      <c r="F35" s="1286"/>
    </row>
    <row r="36" spans="1:6" x14ac:dyDescent="0.25">
      <c r="C36" s="321"/>
      <c r="D36" s="321"/>
      <c r="E36" s="321"/>
    </row>
    <row r="37" spans="1:6" x14ac:dyDescent="0.25">
      <c r="C37" s="321"/>
      <c r="D37" s="321"/>
      <c r="E37" s="321"/>
    </row>
    <row r="38" spans="1:6" x14ac:dyDescent="0.25">
      <c r="C38" s="321"/>
      <c r="D38" s="321"/>
      <c r="E38" s="321"/>
    </row>
    <row r="39" spans="1:6" x14ac:dyDescent="0.25">
      <c r="C39" s="321"/>
      <c r="D39" s="321"/>
      <c r="E39" s="321"/>
    </row>
    <row r="40" spans="1:6" x14ac:dyDescent="0.25">
      <c r="C40" s="321"/>
      <c r="D40" s="321"/>
      <c r="E40" s="321"/>
    </row>
    <row r="41" spans="1:6" x14ac:dyDescent="0.25">
      <c r="C41" s="321"/>
      <c r="D41" s="321"/>
      <c r="E41" s="321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B24" sqref="B24"/>
    </sheetView>
  </sheetViews>
  <sheetFormatPr defaultRowHeight="13.2" x14ac:dyDescent="0.25"/>
  <cols>
    <col min="1" max="1" width="46.33203125" customWidth="1"/>
    <col min="2" max="2" width="16.77734375" customWidth="1"/>
    <col min="3" max="3" width="66.109375" customWidth="1"/>
    <col min="4" max="4" width="13.77734375" customWidth="1"/>
    <col min="5" max="5" width="17.6640625" customWidth="1"/>
  </cols>
  <sheetData>
    <row r="1" spans="1:5" ht="17.399999999999999" x14ac:dyDescent="0.3">
      <c r="A1" s="575" t="s">
        <v>662</v>
      </c>
      <c r="E1" s="576" t="s">
        <v>663</v>
      </c>
    </row>
    <row r="3" spans="1:5" x14ac:dyDescent="0.25">
      <c r="A3" s="577"/>
      <c r="B3" s="578"/>
      <c r="C3" s="577"/>
      <c r="D3" s="579"/>
      <c r="E3" s="578"/>
    </row>
    <row r="4" spans="1:5" ht="15.6" x14ac:dyDescent="0.3">
      <c r="A4" s="580" t="s">
        <v>1012</v>
      </c>
      <c r="B4" s="581"/>
      <c r="C4" s="582"/>
      <c r="D4" s="579"/>
      <c r="E4" s="578"/>
    </row>
    <row r="5" spans="1:5" x14ac:dyDescent="0.25">
      <c r="A5" s="577"/>
      <c r="B5" s="578"/>
      <c r="C5" s="577"/>
      <c r="D5" s="579"/>
      <c r="E5" s="578"/>
    </row>
    <row r="6" spans="1:5" x14ac:dyDescent="0.25">
      <c r="A6" s="577" t="s">
        <v>664</v>
      </c>
      <c r="B6" s="578">
        <f>'1. sz.mell. '!C69</f>
        <v>4386353980</v>
      </c>
      <c r="C6" s="577" t="s">
        <v>665</v>
      </c>
      <c r="D6" s="579">
        <f>'6. sz.mell '!C18+'7. sz.mell .'!C18</f>
        <v>4386353980</v>
      </c>
      <c r="E6" s="578">
        <f t="shared" ref="E6:E15" si="0">+B6-D6</f>
        <v>0</v>
      </c>
    </row>
    <row r="7" spans="1:5" x14ac:dyDescent="0.25">
      <c r="A7" s="577" t="s">
        <v>666</v>
      </c>
      <c r="B7" s="578">
        <f>'1. sz.mell. '!C93</f>
        <v>2704706716</v>
      </c>
      <c r="C7" s="577" t="s">
        <v>667</v>
      </c>
      <c r="D7" s="579">
        <f>'6. sz.mell '!C29+'7. sz.mell .'!C31</f>
        <v>2704706716</v>
      </c>
      <c r="E7" s="578">
        <f t="shared" si="0"/>
        <v>0</v>
      </c>
    </row>
    <row r="8" spans="1:5" x14ac:dyDescent="0.25">
      <c r="A8" s="577" t="s">
        <v>668</v>
      </c>
      <c r="B8" s="578">
        <f>'1. sz.mell. '!C94</f>
        <v>7091060696</v>
      </c>
      <c r="C8" s="577" t="s">
        <v>669</v>
      </c>
      <c r="D8" s="579">
        <f>'6. sz.mell '!C30+'7. sz.mell .'!C32</f>
        <v>7091060696</v>
      </c>
      <c r="E8" s="578">
        <f t="shared" si="0"/>
        <v>0</v>
      </c>
    </row>
    <row r="9" spans="1:5" x14ac:dyDescent="0.25">
      <c r="A9" s="577"/>
      <c r="B9" s="578"/>
      <c r="C9" s="577"/>
      <c r="D9" s="579"/>
      <c r="E9" s="578"/>
    </row>
    <row r="10" spans="1:5" x14ac:dyDescent="0.25">
      <c r="A10" s="577"/>
      <c r="B10" s="578"/>
      <c r="C10" s="577"/>
      <c r="D10" s="579"/>
      <c r="E10" s="578"/>
    </row>
    <row r="11" spans="1:5" ht="15.6" x14ac:dyDescent="0.3">
      <c r="A11" s="580" t="s">
        <v>1013</v>
      </c>
      <c r="B11" s="581"/>
      <c r="C11" s="582"/>
      <c r="D11" s="579"/>
      <c r="E11" s="578"/>
    </row>
    <row r="12" spans="1:5" x14ac:dyDescent="0.25">
      <c r="A12" s="577"/>
      <c r="B12" s="578"/>
      <c r="C12" s="577"/>
      <c r="D12" s="579"/>
      <c r="E12" s="578"/>
    </row>
    <row r="13" spans="1:5" x14ac:dyDescent="0.25">
      <c r="A13" s="577" t="s">
        <v>670</v>
      </c>
      <c r="B13" s="578">
        <f>'1. sz.mell. '!C134</f>
        <v>5890225161</v>
      </c>
      <c r="C13" s="577" t="s">
        <v>671</v>
      </c>
      <c r="D13" s="579">
        <f>'6. sz.mell '!E18+'7. sz.mell .'!E18</f>
        <v>5890225161</v>
      </c>
      <c r="E13" s="578">
        <f t="shared" si="0"/>
        <v>0</v>
      </c>
    </row>
    <row r="14" spans="1:5" x14ac:dyDescent="0.25">
      <c r="A14" s="577" t="s">
        <v>672</v>
      </c>
      <c r="B14" s="578">
        <f>'1. sz.mell. '!C159</f>
        <v>1200835535</v>
      </c>
      <c r="C14" s="577" t="s">
        <v>673</v>
      </c>
      <c r="D14" s="579">
        <f>'6. sz.mell '!E29+'7. sz.mell .'!E31</f>
        <v>1200835535</v>
      </c>
      <c r="E14" s="578">
        <f t="shared" si="0"/>
        <v>0</v>
      </c>
    </row>
    <row r="15" spans="1:5" x14ac:dyDescent="0.25">
      <c r="A15" s="577" t="s">
        <v>674</v>
      </c>
      <c r="B15" s="578">
        <f>'1. sz.mell. '!C160</f>
        <v>7091060696</v>
      </c>
      <c r="C15" s="577" t="s">
        <v>675</v>
      </c>
      <c r="D15" s="579">
        <f>'6. sz.mell '!E30+'7. sz.mell .'!E32</f>
        <v>7091060696</v>
      </c>
      <c r="E15" s="578">
        <f t="shared" si="0"/>
        <v>0</v>
      </c>
    </row>
    <row r="16" spans="1:5" x14ac:dyDescent="0.25">
      <c r="A16" s="577"/>
      <c r="B16" s="577"/>
      <c r="C16" s="577"/>
      <c r="D16" s="579"/>
      <c r="E16" s="579"/>
    </row>
    <row r="17" spans="1:5" x14ac:dyDescent="0.25">
      <c r="A17" s="577"/>
      <c r="B17" s="577"/>
      <c r="C17" s="577"/>
      <c r="D17" s="577"/>
      <c r="E17" s="577"/>
    </row>
    <row r="18" spans="1:5" x14ac:dyDescent="0.25">
      <c r="A18" s="577"/>
      <c r="B18" s="577"/>
      <c r="C18" s="577"/>
      <c r="D18" s="577"/>
      <c r="E18" s="577"/>
    </row>
    <row r="19" spans="1:5" x14ac:dyDescent="0.25">
      <c r="A19" s="577"/>
      <c r="B19" s="577"/>
      <c r="C19" s="577"/>
      <c r="D19" s="577"/>
      <c r="E19" s="577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43</vt:i4>
      </vt:variant>
    </vt:vector>
  </HeadingPairs>
  <TitlesOfParts>
    <vt:vector size="89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TEOI</vt:lpstr>
      <vt:lpstr>22. sz. mell TEOI</vt:lpstr>
      <vt:lpstr>23.sz.mell TEOI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'1. sz.mell. '!Nyomtatási_terület</vt:lpstr>
      <vt:lpstr>'11.sz.mell. Beruházás'!Nyomtatási_terület</vt:lpstr>
      <vt:lpstr>'12.sz.mell. Felújítás'!Nyomtatási_terület</vt:lpstr>
      <vt:lpstr>'17. sz. mell. PH.'!Nyomtatási_terület</vt:lpstr>
      <vt:lpstr>'35.sz.m. tartalék'!Nyomtatási_terület</vt:lpstr>
      <vt:lpstr>'40.sz.m. (5.sz. tájékoztató)'!Nyomtatási_terület</vt:lpstr>
      <vt:lpstr>'41.sz.m. (6.sz tájékoztató t )'!Nyomtatási_terület</vt:lpstr>
      <vt:lpstr>'42.sz.m. (7.sz táj. feladatos)'!Nyomtatási_terület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TEOI'!Print_Titles</vt:lpstr>
      <vt:lpstr>'22. sz. mell TEOI'!Print_Titles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Máté Köblös</cp:lastModifiedBy>
  <cp:lastPrinted>2024-05-06T06:58:38Z</cp:lastPrinted>
  <dcterms:created xsi:type="dcterms:W3CDTF">1999-10-30T10:30:45Z</dcterms:created>
  <dcterms:modified xsi:type="dcterms:W3CDTF">2024-05-06T07:10:51Z</dcterms:modified>
</cp:coreProperties>
</file>